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omments2.xml" ContentType="application/vnd.openxmlformats-officedocument.spreadsheetml.comments+xml"/>
  <Override PartName="/xl/customProperty4.bin" ContentType="application/vnd.openxmlformats-officedocument.spreadsheetml.customProperty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ustomProperty15.bin" ContentType="application/vnd.openxmlformats-officedocument.spreadsheetml.customProperty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omments6.xml" ContentType="application/vnd.openxmlformats-officedocument.spreadsheetml.comments+xml"/>
  <Override PartName="/xl/threadedComments/threadedComment4.xml" ContentType="application/vnd.ms-excel.threadedcomments+xml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updateLinks="never"/>
  <mc:AlternateContent xmlns:mc="http://schemas.openxmlformats.org/markup-compatibility/2006">
    <mc:Choice Requires="x15">
      <x15ac:absPath xmlns:x15ac="http://schemas.microsoft.com/office/spreadsheetml/2010/11/ac" url="C:\Users\ritin\OneDrive\Desktop\"/>
    </mc:Choice>
  </mc:AlternateContent>
  <xr:revisionPtr revIDLastSave="0" documentId="13_ncr:1_{F9B6D009-1D68-42C1-8C8A-4B244951775C}" xr6:coauthVersionLast="47" xr6:coauthVersionMax="47" xr10:uidLastSave="{00000000-0000-0000-0000-000000000000}"/>
  <bookViews>
    <workbookView xWindow="-110" yWindow="-110" windowWidth="19420" windowHeight="10300" firstSheet="2" activeTab="5" xr2:uid="{7D4C6A10-5EC1-42BD-A4B5-EAC4F749BECF}"/>
  </bookViews>
  <sheets>
    <sheet name="Discussion Points " sheetId="19" state="hidden" r:id="rId1"/>
    <sheet name="Sheet1" sheetId="29" state="hidden" r:id="rId2"/>
    <sheet name="P&amp;L" sheetId="2" r:id="rId3"/>
    <sheet name="Balance Sheet" sheetId="1" r:id="rId4"/>
    <sheet name="Cash Flow Statement" sheetId="4" r:id="rId5"/>
    <sheet name="Expenses" sheetId="32" r:id="rId6"/>
    <sheet name="Fin Analysis" sheetId="30" r:id="rId7"/>
    <sheet name="Manufacturing Setup " sheetId="31" r:id="rId8"/>
    <sheet name="Revenue " sheetId="18" r:id="rId9"/>
    <sheet name="Assum" sheetId="9" r:id="rId10"/>
    <sheet name="MarketingExps - FM" sheetId="26" r:id="rId11"/>
    <sheet name="WC Schedule" sheetId="13" r:id="rId12"/>
    <sheet name="Financial Analysis" sheetId="3" state="hidden" r:id="rId13"/>
    <sheet name="EBO Cost" sheetId="15" r:id="rId14"/>
    <sheet name="HR_29th June" sheetId="16" state="hidden" r:id="rId15"/>
    <sheet name="HR - old" sheetId="28" state="hidden" r:id="rId16"/>
    <sheet name="Warehouse Cost" sheetId="8" r:id="rId17"/>
    <sheet name="HR" sheetId="24" r:id="rId18"/>
    <sheet name="Revenue1" sheetId="25" state="hidden" r:id="rId19"/>
    <sheet name="Regional Office Cost" sheetId="10" r:id="rId20"/>
    <sheet name="Capex" sheetId="17" r:id="rId21"/>
    <sheet name="Tax Calculation" sheetId="20" r:id="rId22"/>
    <sheet name="Tax Dep " sheetId="21" r:id="rId23"/>
    <sheet name="EBO &amp; Distributor temp" sheetId="22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'Revenue '!$A$6:$BL$62</definedName>
    <definedName name="_xlnm._FilterDatabase" localSheetId="18" hidden="1">Revenue1!$A$6:$BL$58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a">#REF!</definedName>
    <definedName name="aaaa">#REF!</definedName>
    <definedName name="admIND">[1]Assumptions!$F$26</definedName>
    <definedName name="AnalystPerLevel">#REF!</definedName>
    <definedName name="AS2DocOpenMode" hidden="1">"AS2DocumentEdit"</definedName>
    <definedName name="CC_int">[1]Assumptions!$F$34</definedName>
    <definedName name="CIQWBGuid" hidden="1">"e64ef4f1-c6ae-4fc4-9587-5cc7a5a3784f"</definedName>
    <definedName name="CIQWBInfo" hidden="1">"{ ""CIQVersion"":""9.49.2423.4439"" }"</definedName>
    <definedName name="cx" hidden="1">#REF!</definedName>
    <definedName name="_xlnm.Database">#REF!</definedName>
    <definedName name="DDT">[1]Assumptions!#REF!</definedName>
    <definedName name="ec">[1]Assumptions!$F$25</definedName>
    <definedName name="Excel_BuiltIn__FilterDatabase">#REF!</definedName>
    <definedName name="Excel_BuiltIn__FilterDatabase_1">#REF!</definedName>
    <definedName name="Excel_BuiltIn__FilterDatabase_1_1">#REF!</definedName>
    <definedName name="Excel_BuiltIn__FilterDatabase_1_1_1">#REF!</definedName>
    <definedName name="Excel_BuiltIn__FilterDatabase_1_1_1_1">#REF!</definedName>
    <definedName name="Excel_BuiltIn__FilterDatabase_1_1_1_1_1">#REF!</definedName>
    <definedName name="Excel_BuiltIn__FilterDatabase_2">#REF!</definedName>
    <definedName name="Excel_BuiltIn__FilterDatabase_2_1">#REF!</definedName>
    <definedName name="Excel_BuiltIn__FilterDatabase_3">#REF!</definedName>
    <definedName name="Excel_BuiltIn__FilterDatabase_4">#REF!</definedName>
    <definedName name="Excel_BuiltIn__FilterDatabase_4_1">#REF!</definedName>
    <definedName name="Excel_BuiltIn__FilterDatabase_5">#REF!</definedName>
    <definedName name="Excel_BuiltIn__FilterDatabase_6">#REF!</definedName>
    <definedName name="Excel_BuiltIn__FilterDatabase_6_1">#REF!</definedName>
    <definedName name="Excel_BuiltIn__FilterDatabase_7_1">#REF!</definedName>
    <definedName name="Excel_BuiltIn__FilterDatabase_7_2">#REF!</definedName>
    <definedName name="Excel_BuiltIn__FilterDatabase_8">#REF!</definedName>
    <definedName name="Excel_BuiltIn_Print_Area">#REF!</definedName>
    <definedName name="Excel_BuiltIn_Print_Area_1">#REF!</definedName>
    <definedName name="Excel_BuiltIn_Print_Area_11">#REF!</definedName>
    <definedName name="Excel_BuiltIn_Print_Area_2">#REF!</definedName>
    <definedName name="Excel_BuiltIn_Print_Area_2_1">#REF!</definedName>
    <definedName name="Excel_BuiltIn_Print_Area_3">#REF!</definedName>
    <definedName name="Excel_BuiltIn_Print_Area_4">#REF!</definedName>
    <definedName name="Excel_BuiltIn_Print_Area_5">#REF!</definedName>
    <definedName name="Excel_BuiltIn_Print_Area_5_1">#REF!</definedName>
    <definedName name="Excel_BuiltIn_Print_Area_6">#REF!</definedName>
    <definedName name="Excel_BuiltIn_Print_Area_6_1">#REF!</definedName>
    <definedName name="Excel_BuiltIn_Print_Area_7">#REF!</definedName>
    <definedName name="Excel_BuiltIn_Print_Area_7_1">#REF!</definedName>
    <definedName name="Excel_BuiltIn_Print_Area_8">#REF!</definedName>
    <definedName name="Excel_BuiltIn_Print_Area_9">#REF!</definedName>
    <definedName name="Excel_BuiltIn_Print_Titles">#REF!</definedName>
    <definedName name="Excel_BuiltIn_Print_Titles_1">#REF!</definedName>
    <definedName name="Excel_BuiltIn_Print_Titles_2_1">#REF!</definedName>
    <definedName name="Excel_BuiltIn_Print_Titles_2_1_1">#REF!</definedName>
    <definedName name="Excel_BuiltIn_Print_Titles_3">#REF!</definedName>
    <definedName name="Excel_BuiltIn_Print_Titles_4">#REF!</definedName>
    <definedName name="Excel_BuiltIn_Print_Titles_5">#REF!</definedName>
    <definedName name="Excel_BuiltIn_Print_Titles_6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AMES_REVISION_DATE_" hidden="1">"01/01/0001 00:00:00"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TR">[1]Assumptions!$F$28</definedName>
    <definedName name="ksjklafj">#REF!</definedName>
    <definedName name="lac">[1]Assumptions!$D$45</definedName>
    <definedName name="Note">#REF!</definedName>
    <definedName name="page\x2dtotal">#REF!</definedName>
    <definedName name="page\x2dtotal\x2dmaster0">#REF!</definedName>
    <definedName name="_xlnm.Print_Titles" localSheetId="0">'Discussion Points '!$3:$3</definedName>
    <definedName name="PtgSummary">#REF!</definedName>
    <definedName name="PY">#REF!</definedName>
    <definedName name="RecSummary">#REF!</definedName>
    <definedName name="scp">[1]Assumptions!$F$19</definedName>
    <definedName name="T_BLARKY">"$"</definedName>
    <definedName name="T_BLCCKY">"$"</definedName>
    <definedName name="T_BLCLBAL">"$"</definedName>
    <definedName name="T_BLCLCR">"$"</definedName>
    <definedName name="T_BLCLDR">"$"</definedName>
    <definedName name="T_BLCRRS">"$"</definedName>
    <definedName name="T_BLDRRS">"$"</definedName>
    <definedName name="T_BLDVKY">"$"</definedName>
    <definedName name="T_BLDVNM">"$"</definedName>
    <definedName name="T_BLENDT">"$"</definedName>
    <definedName name="T_BLGLACTY">"$"</definedName>
    <definedName name="T_BLGLKY">"$"</definedName>
    <definedName name="T_BLGLTY">"$"</definedName>
    <definedName name="T_BLMEMCR">"$"</definedName>
    <definedName name="T_BLMEMDR">"$"</definedName>
    <definedName name="T_BLNM">"$"</definedName>
    <definedName name="T_BLOPBAL">"$"</definedName>
    <definedName name="T_BLOPCR">"$"</definedName>
    <definedName name="T_BLOPDR">"$"</definedName>
    <definedName name="T_BLSHRT">"$"</definedName>
    <definedName name="T_BLSLKY">"$"</definedName>
    <definedName name="T_BLSLNM">"$"</definedName>
    <definedName name="T_BLSLSHRT">"$"</definedName>
    <definedName name="T_BLSLTY">"$"</definedName>
    <definedName name="T_BLSTDT">"$"</definedName>
    <definedName name="TargetHeader">#REF!</definedName>
    <definedName name="TextRefCopyRangeCount" hidden="1">3</definedName>
    <definedName name="TL_int">[1]Assumptions!#REF!</definedName>
    <definedName name="XRefColumnsCount" hidden="1">5</definedName>
    <definedName name="XRefCopy2Row" hidden="1">[2]XREF!#REF!</definedName>
    <definedName name="XRefCopy3Row" hidden="1">[2]XREF!#REF!</definedName>
    <definedName name="XRefCopyRangeCount" hidden="1">8</definedName>
    <definedName name="XRefPaste2Row" hidden="1">[2]XREF!#REF!</definedName>
    <definedName name="XRefPaste3Row" hidden="1">[2]XREF!#REF!</definedName>
    <definedName name="XRefPasteRangeCount" hidden="1">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AD103" i="18"/>
  <c r="N17" i="2"/>
  <c r="AD59" i="18"/>
  <c r="D29" i="31"/>
  <c r="F34" i="1"/>
  <c r="C32" i="31"/>
  <c r="G28" i="4"/>
  <c r="I78" i="13"/>
  <c r="T19" i="24"/>
  <c r="E19" i="10"/>
  <c r="E28" i="10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AX59" i="18"/>
  <c r="AW59" i="18"/>
  <c r="AV59" i="18"/>
  <c r="AU59" i="18"/>
  <c r="AT59" i="18"/>
  <c r="AS59" i="18"/>
  <c r="AQ59" i="18"/>
  <c r="AP59" i="18"/>
  <c r="AO59" i="18"/>
  <c r="AN59" i="18"/>
  <c r="AM59" i="18"/>
  <c r="AL59" i="18"/>
  <c r="AJ59" i="18"/>
  <c r="AI59" i="18"/>
  <c r="AH59" i="18"/>
  <c r="AG59" i="18"/>
  <c r="AF59" i="18"/>
  <c r="AE59" i="18"/>
  <c r="AK57" i="18"/>
  <c r="F26" i="31"/>
  <c r="F29" i="31" s="1"/>
  <c r="E26" i="31"/>
  <c r="E29" i="31" s="1"/>
  <c r="D26" i="31"/>
  <c r="C26" i="31"/>
  <c r="C29" i="31" s="1"/>
  <c r="F21" i="31"/>
  <c r="E21" i="31"/>
  <c r="C21" i="31"/>
  <c r="D21" i="31"/>
  <c r="F20" i="31"/>
  <c r="E20" i="31"/>
  <c r="D20" i="31"/>
  <c r="C20" i="31"/>
  <c r="D28" i="31" l="1"/>
  <c r="E28" i="31" s="1"/>
  <c r="F28" i="31" s="1"/>
  <c r="C31" i="31"/>
  <c r="E55" i="17"/>
  <c r="F23" i="2" l="1"/>
  <c r="F22" i="2"/>
  <c r="F21" i="2"/>
  <c r="F20" i="2"/>
  <c r="D32" i="26" l="1"/>
  <c r="C17" i="26"/>
  <c r="D33" i="26"/>
  <c r="D31" i="26"/>
  <c r="D41" i="26"/>
  <c r="C12" i="26"/>
  <c r="C11" i="26"/>
  <c r="C10" i="26"/>
  <c r="C9" i="26"/>
  <c r="C7" i="26"/>
  <c r="C31" i="26"/>
  <c r="C33" i="26"/>
  <c r="C30" i="26" s="1"/>
  <c r="E32" i="26"/>
  <c r="E35" i="26"/>
  <c r="D40" i="26"/>
  <c r="BB51" i="18"/>
  <c r="AD51" i="18" s="1"/>
  <c r="AD79" i="18"/>
  <c r="AD80" i="18"/>
  <c r="AD81" i="18"/>
  <c r="N103" i="18" l="1"/>
  <c r="F16" i="4" l="1"/>
  <c r="F19" i="21" l="1"/>
  <c r="F17" i="21"/>
  <c r="F16" i="21"/>
  <c r="F15" i="21"/>
  <c r="F47" i="21" l="1"/>
  <c r="F39" i="21"/>
  <c r="F31" i="21"/>
  <c r="F24" i="21"/>
  <c r="I10" i="21"/>
  <c r="I9" i="21"/>
  <c r="I8" i="21"/>
  <c r="E46" i="17"/>
  <c r="G46" i="17" s="1"/>
  <c r="G45" i="17"/>
  <c r="G30" i="4"/>
  <c r="E38" i="1"/>
  <c r="F22" i="21" l="1"/>
  <c r="H46" i="17"/>
  <c r="P99" i="18"/>
  <c r="P74" i="18"/>
  <c r="P71" i="18"/>
  <c r="L120" i="18"/>
  <c r="L124" i="18" s="1"/>
  <c r="L121" i="18"/>
  <c r="L122" i="18"/>
  <c r="L123" i="18"/>
  <c r="T124" i="18"/>
  <c r="T116" i="18"/>
  <c r="AT111" i="18"/>
  <c r="AT112" i="18"/>
  <c r="AT113" i="18"/>
  <c r="AT114" i="18"/>
  <c r="AT115" i="18"/>
  <c r="AT116" i="18"/>
  <c r="AN124" i="18"/>
  <c r="AU124" i="18"/>
  <c r="E13" i="10"/>
  <c r="E21" i="10"/>
  <c r="G21" i="10"/>
  <c r="F21" i="10"/>
  <c r="E31" i="10"/>
  <c r="E18" i="10"/>
  <c r="C35" i="10"/>
  <c r="G35" i="10"/>
  <c r="F35" i="10"/>
  <c r="G30" i="10"/>
  <c r="F30" i="10"/>
  <c r="E12" i="10"/>
  <c r="C12" i="10"/>
  <c r="F23" i="21"/>
  <c r="G55" i="17" l="1"/>
  <c r="E103" i="18"/>
  <c r="E40" i="26"/>
  <c r="F40" i="26" s="1"/>
  <c r="C8" i="26"/>
  <c r="C39" i="26" l="1"/>
  <c r="E41" i="26"/>
  <c r="F41" i="26" s="1"/>
  <c r="E37" i="26"/>
  <c r="F37" i="26" s="1"/>
  <c r="E36" i="26"/>
  <c r="F36" i="26" s="1"/>
  <c r="F35" i="26"/>
  <c r="E33" i="26"/>
  <c r="F33" i="26" s="1"/>
  <c r="F32" i="26"/>
  <c r="E31" i="26"/>
  <c r="F31" i="26" s="1"/>
  <c r="C25" i="26"/>
  <c r="C27" i="26" s="1"/>
  <c r="C20" i="26"/>
  <c r="D20" i="26" s="1"/>
  <c r="E20" i="26" s="1"/>
  <c r="F20" i="26" s="1"/>
  <c r="D39" i="26" l="1"/>
  <c r="E39" i="26"/>
  <c r="F39" i="26"/>
  <c r="F30" i="26"/>
  <c r="E30" i="26"/>
  <c r="D30" i="26"/>
  <c r="D25" i="26"/>
  <c r="D27" i="26" s="1"/>
  <c r="G49" i="24"/>
  <c r="G35" i="13"/>
  <c r="D27" i="30"/>
  <c r="E23" i="30"/>
  <c r="D23" i="30"/>
  <c r="C23" i="30"/>
  <c r="E25" i="26" l="1"/>
  <c r="G20" i="30"/>
  <c r="D20" i="30"/>
  <c r="I19" i="30"/>
  <c r="H19" i="30"/>
  <c r="G19" i="30"/>
  <c r="F19" i="30"/>
  <c r="E19" i="30"/>
  <c r="D19" i="30"/>
  <c r="C19" i="30"/>
  <c r="C20" i="30" s="1"/>
  <c r="I18" i="30"/>
  <c r="H18" i="30"/>
  <c r="H20" i="30" s="1"/>
  <c r="G18" i="30"/>
  <c r="F18" i="30"/>
  <c r="F20" i="30" s="1"/>
  <c r="E18" i="30"/>
  <c r="E20" i="30" s="1"/>
  <c r="D18" i="30"/>
  <c r="C18" i="30"/>
  <c r="C28" i="2"/>
  <c r="AL22" i="8"/>
  <c r="H42" i="13"/>
  <c r="I42" i="13" s="1"/>
  <c r="J42" i="13" s="1"/>
  <c r="K42" i="13" s="1"/>
  <c r="I53" i="13"/>
  <c r="J53" i="13" s="1"/>
  <c r="K53" i="13" s="1"/>
  <c r="H50" i="13"/>
  <c r="I50" i="13" s="1"/>
  <c r="J50" i="13" s="1"/>
  <c r="K50" i="13" s="1"/>
  <c r="F18" i="21"/>
  <c r="E75" i="17"/>
  <c r="F30" i="21" s="1"/>
  <c r="E96" i="17"/>
  <c r="F38" i="21" s="1"/>
  <c r="E115" i="17"/>
  <c r="F46" i="21" s="1"/>
  <c r="E106" i="17"/>
  <c r="F45" i="21" s="1"/>
  <c r="E87" i="17"/>
  <c r="F37" i="21" s="1"/>
  <c r="F31" i="31"/>
  <c r="E31" i="31"/>
  <c r="D31" i="31"/>
  <c r="C5" i="31"/>
  <c r="C7" i="31" s="1"/>
  <c r="C8" i="31"/>
  <c r="F16" i="2" s="1"/>
  <c r="F19" i="2"/>
  <c r="I19" i="2"/>
  <c r="H19" i="2"/>
  <c r="G19" i="2"/>
  <c r="E9" i="30"/>
  <c r="D9" i="30"/>
  <c r="I4" i="30"/>
  <c r="H4" i="30"/>
  <c r="G4" i="30"/>
  <c r="F4" i="30"/>
  <c r="E4" i="30"/>
  <c r="D4" i="30"/>
  <c r="C4" i="30"/>
  <c r="C2" i="30"/>
  <c r="C6" i="31" l="1"/>
  <c r="C9" i="31" s="1"/>
  <c r="AD57" i="18"/>
  <c r="I20" i="30"/>
  <c r="F25" i="26"/>
  <c r="F27" i="26" s="1"/>
  <c r="E27" i="26"/>
  <c r="D5" i="31"/>
  <c r="E5" i="31"/>
  <c r="F5" i="31"/>
  <c r="AY57" i="18" s="1"/>
  <c r="H43" i="13"/>
  <c r="D8" i="31"/>
  <c r="G16" i="2" s="1"/>
  <c r="E8" i="31"/>
  <c r="F8" i="31"/>
  <c r="U9" i="8"/>
  <c r="F37" i="9"/>
  <c r="J103" i="18"/>
  <c r="H22" i="29"/>
  <c r="G22" i="29" s="1"/>
  <c r="H21" i="29"/>
  <c r="G21" i="29" s="1"/>
  <c r="H20" i="29"/>
  <c r="G20" i="29" s="1"/>
  <c r="H19" i="29"/>
  <c r="D22" i="29"/>
  <c r="D21" i="29"/>
  <c r="D20" i="29"/>
  <c r="D19" i="29"/>
  <c r="G19" i="29" s="1"/>
  <c r="D18" i="29"/>
  <c r="G18" i="29" s="1"/>
  <c r="K11" i="8"/>
  <c r="K10" i="8"/>
  <c r="I16" i="2" l="1"/>
  <c r="H16" i="2"/>
  <c r="E7" i="31"/>
  <c r="E6" i="31" s="1"/>
  <c r="AR57" i="18"/>
  <c r="J43" i="13"/>
  <c r="J71" i="13" s="1"/>
  <c r="J67" i="13" s="1"/>
  <c r="J60" i="13" s="1"/>
  <c r="J59" i="13" s="1"/>
  <c r="K43" i="13"/>
  <c r="F7" i="31"/>
  <c r="K45" i="13" s="1"/>
  <c r="K72" i="13" s="1"/>
  <c r="H71" i="13"/>
  <c r="H67" i="13" s="1"/>
  <c r="H60" i="13" s="1"/>
  <c r="H59" i="13" s="1"/>
  <c r="I43" i="13"/>
  <c r="D7" i="31"/>
  <c r="S9" i="8"/>
  <c r="G9" i="8"/>
  <c r="I9" i="8" s="1"/>
  <c r="F6" i="31" l="1"/>
  <c r="F9" i="31" s="1"/>
  <c r="J45" i="13"/>
  <c r="I65" i="13" s="1"/>
  <c r="K71" i="13"/>
  <c r="K67" i="13" s="1"/>
  <c r="K60" i="13" s="1"/>
  <c r="K59" i="13" s="1"/>
  <c r="J69" i="13"/>
  <c r="K69" i="13"/>
  <c r="J65" i="13"/>
  <c r="K63" i="13"/>
  <c r="K65" i="13"/>
  <c r="I71" i="13"/>
  <c r="I67" i="13" s="1"/>
  <c r="I60" i="13" s="1"/>
  <c r="I59" i="13" s="1"/>
  <c r="H45" i="13"/>
  <c r="I45" i="13"/>
  <c r="D6" i="31"/>
  <c r="D9" i="31" s="1"/>
  <c r="E9" i="31"/>
  <c r="BL10" i="18"/>
  <c r="BL9" i="18"/>
  <c r="BL8" i="18"/>
  <c r="U91" i="22"/>
  <c r="U90" i="22"/>
  <c r="U88" i="22"/>
  <c r="U89" i="22" s="1"/>
  <c r="U92" i="22" s="1"/>
  <c r="T8" i="22"/>
  <c r="T6" i="22"/>
  <c r="R8" i="22"/>
  <c r="S6" i="22"/>
  <c r="D88" i="22"/>
  <c r="H14" i="29"/>
  <c r="G14" i="29"/>
  <c r="F14" i="29"/>
  <c r="E14" i="29"/>
  <c r="D14" i="29"/>
  <c r="I10" i="29"/>
  <c r="I13" i="29"/>
  <c r="I12" i="29"/>
  <c r="I11" i="29"/>
  <c r="I9" i="29"/>
  <c r="I8" i="29"/>
  <c r="I7" i="29"/>
  <c r="I6" i="29"/>
  <c r="I5" i="29"/>
  <c r="I4" i="29"/>
  <c r="I3" i="29"/>
  <c r="T30" i="8"/>
  <c r="T40" i="8"/>
  <c r="T39" i="8"/>
  <c r="T38" i="8"/>
  <c r="T37" i="8"/>
  <c r="T36" i="8"/>
  <c r="T35" i="8"/>
  <c r="T34" i="8"/>
  <c r="T32" i="8"/>
  <c r="T31" i="8"/>
  <c r="J72" i="13" l="1"/>
  <c r="I69" i="13" s="1"/>
  <c r="J63" i="13"/>
  <c r="I63" i="13"/>
  <c r="I72" i="13"/>
  <c r="H69" i="13" s="1"/>
  <c r="H63" i="13"/>
  <c r="H72" i="13"/>
  <c r="C27" i="10"/>
  <c r="C28" i="10"/>
  <c r="C13" i="10"/>
  <c r="AB95" i="18"/>
  <c r="AI95" i="18" s="1"/>
  <c r="AP95" i="18" s="1"/>
  <c r="AW95" i="18" s="1"/>
  <c r="AB94" i="18"/>
  <c r="AI94" i="18" s="1"/>
  <c r="AP94" i="18" s="1"/>
  <c r="AW94" i="18" s="1"/>
  <c r="AB93" i="18"/>
  <c r="AI93" i="18" s="1"/>
  <c r="AP93" i="18" s="1"/>
  <c r="AW93" i="18" s="1"/>
  <c r="AI81" i="18"/>
  <c r="AP81" i="18" s="1"/>
  <c r="AW81" i="18" s="1"/>
  <c r="AI80" i="18"/>
  <c r="AP80" i="18" s="1"/>
  <c r="AW80" i="18" s="1"/>
  <c r="AI70" i="18"/>
  <c r="AP70" i="18" s="1"/>
  <c r="AW70" i="18" s="1"/>
  <c r="AI72" i="18"/>
  <c r="AP72" i="18" s="1"/>
  <c r="AW72" i="18" s="1"/>
  <c r="AI71" i="18"/>
  <c r="AP71" i="18" s="1"/>
  <c r="AW71" i="18" s="1"/>
  <c r="AI79" i="18"/>
  <c r="AP79" i="18" s="1"/>
  <c r="AW79" i="18" s="1"/>
  <c r="AB96" i="18"/>
  <c r="AI96" i="18" s="1"/>
  <c r="AP96" i="18" s="1"/>
  <c r="AW96" i="18" s="1"/>
  <c r="D91" i="22"/>
  <c r="D92" i="22" s="1"/>
  <c r="I28" i="2"/>
  <c r="H28" i="2"/>
  <c r="G28" i="2"/>
  <c r="F28" i="2"/>
  <c r="E28" i="2"/>
  <c r="E19" i="2"/>
  <c r="T11" i="24"/>
  <c r="W42" i="24"/>
  <c r="W38" i="24"/>
  <c r="W34" i="24"/>
  <c r="W33" i="24"/>
  <c r="W29" i="24"/>
  <c r="W26" i="24"/>
  <c r="W25" i="24"/>
  <c r="W23" i="24"/>
  <c r="W22" i="24"/>
  <c r="W21" i="24"/>
  <c r="W18" i="24"/>
  <c r="W17" i="24"/>
  <c r="W14" i="24"/>
  <c r="W13" i="24"/>
  <c r="V42" i="24"/>
  <c r="V38" i="24"/>
  <c r="V34" i="24"/>
  <c r="V33" i="24"/>
  <c r="V29" i="24"/>
  <c r="V26" i="24"/>
  <c r="V25" i="24"/>
  <c r="V23" i="24"/>
  <c r="V22" i="24"/>
  <c r="V21" i="24"/>
  <c r="V18" i="24"/>
  <c r="V17" i="24"/>
  <c r="V14" i="24"/>
  <c r="V13" i="24"/>
  <c r="U47" i="24"/>
  <c r="U46" i="24"/>
  <c r="U45" i="24"/>
  <c r="U44" i="24"/>
  <c r="U42" i="24"/>
  <c r="U38" i="24"/>
  <c r="U34" i="24"/>
  <c r="U33" i="24"/>
  <c r="U29" i="24"/>
  <c r="U26" i="24"/>
  <c r="U25" i="24"/>
  <c r="U23" i="24"/>
  <c r="U22" i="24"/>
  <c r="U21" i="24"/>
  <c r="U18" i="24"/>
  <c r="U17" i="24"/>
  <c r="U14" i="24"/>
  <c r="U13" i="24"/>
  <c r="T47" i="24"/>
  <c r="T46" i="24"/>
  <c r="T45" i="24"/>
  <c r="T44" i="24"/>
  <c r="T42" i="24"/>
  <c r="T38" i="24"/>
  <c r="T34" i="24"/>
  <c r="T33" i="24"/>
  <c r="T29" i="24"/>
  <c r="T23" i="24"/>
  <c r="T22" i="24"/>
  <c r="T21" i="24"/>
  <c r="T18" i="24"/>
  <c r="T17" i="24"/>
  <c r="T14" i="24"/>
  <c r="T13" i="24"/>
  <c r="T12" i="24"/>
  <c r="S58" i="28"/>
  <c r="R58" i="28"/>
  <c r="Q58" i="28"/>
  <c r="I54" i="28"/>
  <c r="H54" i="28"/>
  <c r="G54" i="28"/>
  <c r="F54" i="28"/>
  <c r="E54" i="28"/>
  <c r="D54" i="28"/>
  <c r="C54" i="28"/>
  <c r="V47" i="28"/>
  <c r="U47" i="28"/>
  <c r="T47" i="28"/>
  <c r="S47" i="28"/>
  <c r="R47" i="28"/>
  <c r="Q47" i="28"/>
  <c r="O47" i="28"/>
  <c r="P47" i="28" s="1"/>
  <c r="W47" i="28" s="1"/>
  <c r="U46" i="28"/>
  <c r="T46" i="28"/>
  <c r="S46" i="28"/>
  <c r="R46" i="28"/>
  <c r="Q46" i="28"/>
  <c r="O46" i="28"/>
  <c r="V46" i="28" s="1"/>
  <c r="V45" i="28"/>
  <c r="U45" i="28"/>
  <c r="T45" i="28"/>
  <c r="S45" i="28"/>
  <c r="R45" i="28"/>
  <c r="Q45" i="28"/>
  <c r="P45" i="28"/>
  <c r="W45" i="28" s="1"/>
  <c r="O45" i="28"/>
  <c r="V44" i="28"/>
  <c r="U44" i="28"/>
  <c r="T44" i="28"/>
  <c r="S44" i="28"/>
  <c r="R44" i="28"/>
  <c r="Q44" i="28"/>
  <c r="O44" i="28"/>
  <c r="P44" i="28" s="1"/>
  <c r="W44" i="28" s="1"/>
  <c r="W42" i="28"/>
  <c r="V42" i="28"/>
  <c r="U42" i="28"/>
  <c r="T42" i="28"/>
  <c r="S42" i="28"/>
  <c r="R42" i="28"/>
  <c r="Q42" i="28"/>
  <c r="S41" i="28"/>
  <c r="R41" i="28"/>
  <c r="Q41" i="28"/>
  <c r="N41" i="28"/>
  <c r="O41" i="28" s="1"/>
  <c r="M41" i="28"/>
  <c r="T41" i="28" s="1"/>
  <c r="T40" i="28"/>
  <c r="S40" i="28"/>
  <c r="R40" i="28"/>
  <c r="Q40" i="28"/>
  <c r="M40" i="28"/>
  <c r="N40" i="28" s="1"/>
  <c r="T39" i="28"/>
  <c r="S39" i="28"/>
  <c r="R39" i="28"/>
  <c r="Q39" i="28"/>
  <c r="M39" i="28"/>
  <c r="N39" i="28" s="1"/>
  <c r="W38" i="28"/>
  <c r="V38" i="28"/>
  <c r="U38" i="28"/>
  <c r="T38" i="28"/>
  <c r="S38" i="28"/>
  <c r="R38" i="28"/>
  <c r="Q38" i="28"/>
  <c r="S36" i="28"/>
  <c r="R36" i="28"/>
  <c r="Q36" i="28"/>
  <c r="N36" i="28"/>
  <c r="O36" i="28" s="1"/>
  <c r="M36" i="28"/>
  <c r="T36" i="28" s="1"/>
  <c r="T35" i="28"/>
  <c r="S35" i="28"/>
  <c r="R35" i="28"/>
  <c r="Q35" i="28"/>
  <c r="M35" i="28"/>
  <c r="N35" i="28" s="1"/>
  <c r="W34" i="28"/>
  <c r="V34" i="28"/>
  <c r="U34" i="28"/>
  <c r="T34" i="28"/>
  <c r="S34" i="28"/>
  <c r="R34" i="28"/>
  <c r="Q34" i="28"/>
  <c r="W33" i="28"/>
  <c r="V33" i="28"/>
  <c r="U33" i="28"/>
  <c r="T33" i="28"/>
  <c r="S33" i="28"/>
  <c r="R33" i="28"/>
  <c r="Q33" i="28"/>
  <c r="S32" i="28"/>
  <c r="R32" i="28"/>
  <c r="Q32" i="28"/>
  <c r="M32" i="28"/>
  <c r="T32" i="28" s="1"/>
  <c r="S31" i="28"/>
  <c r="R31" i="28"/>
  <c r="Q31" i="28"/>
  <c r="M31" i="28"/>
  <c r="N31" i="28" s="1"/>
  <c r="T30" i="28"/>
  <c r="S30" i="28"/>
  <c r="R30" i="28"/>
  <c r="Q30" i="28"/>
  <c r="M30" i="28"/>
  <c r="N30" i="28" s="1"/>
  <c r="W29" i="28"/>
  <c r="V29" i="28"/>
  <c r="U29" i="28"/>
  <c r="T29" i="28"/>
  <c r="S29" i="28"/>
  <c r="R29" i="28"/>
  <c r="Q29" i="28"/>
  <c r="S27" i="28"/>
  <c r="R27" i="28"/>
  <c r="Q27" i="28"/>
  <c r="M27" i="28"/>
  <c r="T27" i="28" s="1"/>
  <c r="W26" i="28"/>
  <c r="V26" i="28"/>
  <c r="U26" i="28"/>
  <c r="S26" i="28"/>
  <c r="R26" i="28"/>
  <c r="Q26" i="28"/>
  <c r="M26" i="28"/>
  <c r="T26" i="28" s="1"/>
  <c r="W25" i="28"/>
  <c r="V25" i="28"/>
  <c r="U25" i="28"/>
  <c r="S25" i="28"/>
  <c r="R25" i="28"/>
  <c r="Q25" i="28"/>
  <c r="M25" i="28"/>
  <c r="T25" i="28" s="1"/>
  <c r="S24" i="28"/>
  <c r="R24" i="28"/>
  <c r="Q24" i="28"/>
  <c r="M24" i="28"/>
  <c r="N24" i="28" s="1"/>
  <c r="W23" i="28"/>
  <c r="V23" i="28"/>
  <c r="U23" i="28"/>
  <c r="T23" i="28"/>
  <c r="S23" i="28"/>
  <c r="R23" i="28"/>
  <c r="Q23" i="28"/>
  <c r="W22" i="28"/>
  <c r="V22" i="28"/>
  <c r="U22" i="28"/>
  <c r="T22" i="28"/>
  <c r="S22" i="28"/>
  <c r="R22" i="28"/>
  <c r="Q22" i="28"/>
  <c r="W21" i="28"/>
  <c r="V21" i="28"/>
  <c r="U21" i="28"/>
  <c r="T21" i="28"/>
  <c r="S21" i="28"/>
  <c r="R21" i="28"/>
  <c r="Q21" i="28"/>
  <c r="S20" i="28"/>
  <c r="R20" i="28"/>
  <c r="Q20" i="28"/>
  <c r="M20" i="28"/>
  <c r="N20" i="28" s="1"/>
  <c r="T19" i="28"/>
  <c r="S19" i="28"/>
  <c r="R19" i="28"/>
  <c r="Q19" i="28"/>
  <c r="P19" i="28"/>
  <c r="W19" i="28" s="1"/>
  <c r="O19" i="28"/>
  <c r="V19" i="28" s="1"/>
  <c r="N19" i="28"/>
  <c r="U19" i="28" s="1"/>
  <c r="M19" i="28"/>
  <c r="W18" i="28"/>
  <c r="V18" i="28"/>
  <c r="U18" i="28"/>
  <c r="T18" i="28"/>
  <c r="S18" i="28"/>
  <c r="R18" i="28"/>
  <c r="Q18" i="28"/>
  <c r="W17" i="28"/>
  <c r="V17" i="28"/>
  <c r="U17" i="28"/>
  <c r="T17" i="28"/>
  <c r="S17" i="28"/>
  <c r="R17" i="28"/>
  <c r="Q17" i="28"/>
  <c r="T16" i="28"/>
  <c r="S16" i="28"/>
  <c r="R16" i="28"/>
  <c r="Q16" i="28"/>
  <c r="M16" i="28"/>
  <c r="N16" i="28" s="1"/>
  <c r="T15" i="28"/>
  <c r="S15" i="28"/>
  <c r="R15" i="28"/>
  <c r="Q15" i="28"/>
  <c r="M15" i="28"/>
  <c r="N15" i="28" s="1"/>
  <c r="W14" i="28"/>
  <c r="V14" i="28"/>
  <c r="U14" i="28"/>
  <c r="T14" i="28"/>
  <c r="S14" i="28"/>
  <c r="R14" i="28"/>
  <c r="Q14" i="28"/>
  <c r="W13" i="28"/>
  <c r="V13" i="28"/>
  <c r="U13" i="28"/>
  <c r="T13" i="28"/>
  <c r="S13" i="28"/>
  <c r="R13" i="28"/>
  <c r="Q13" i="28"/>
  <c r="U12" i="28"/>
  <c r="T12" i="28"/>
  <c r="S12" i="28"/>
  <c r="R12" i="28"/>
  <c r="Q12" i="28"/>
  <c r="Q54" i="28" s="1"/>
  <c r="Q56" i="28" s="1"/>
  <c r="N12" i="28"/>
  <c r="O12" i="28" s="1"/>
  <c r="T11" i="28"/>
  <c r="S11" i="28"/>
  <c r="S54" i="28" s="1"/>
  <c r="S56" i="28" s="1"/>
  <c r="R11" i="28"/>
  <c r="R54" i="28" s="1"/>
  <c r="R56" i="28" s="1"/>
  <c r="R59" i="28" s="1"/>
  <c r="Q11" i="28"/>
  <c r="O11" i="28"/>
  <c r="P11" i="28" s="1"/>
  <c r="W11" i="28" s="1"/>
  <c r="N11" i="28"/>
  <c r="U11" i="28" s="1"/>
  <c r="Q11" i="24"/>
  <c r="E90" i="22"/>
  <c r="E91" i="22" s="1"/>
  <c r="F90" i="22"/>
  <c r="F91" i="22" s="1"/>
  <c r="G90" i="22"/>
  <c r="G91" i="22" s="1"/>
  <c r="H90" i="22"/>
  <c r="H91" i="22" s="1"/>
  <c r="I90" i="22"/>
  <c r="I91" i="22" s="1"/>
  <c r="J90" i="22"/>
  <c r="J91" i="22" s="1"/>
  <c r="K90" i="22"/>
  <c r="K91" i="22" s="1"/>
  <c r="L90" i="22"/>
  <c r="L91" i="22" s="1"/>
  <c r="L94" i="22" s="1"/>
  <c r="M90" i="22"/>
  <c r="M91" i="22" s="1"/>
  <c r="M94" i="22" s="1"/>
  <c r="N90" i="22"/>
  <c r="N91" i="22" s="1"/>
  <c r="O90" i="22"/>
  <c r="O91" i="22" s="1"/>
  <c r="P90" i="22"/>
  <c r="P91" i="22" s="1"/>
  <c r="Q90" i="22"/>
  <c r="Q91" i="22" s="1"/>
  <c r="R90" i="22"/>
  <c r="R91" i="22" s="1"/>
  <c r="S90" i="22"/>
  <c r="S91" i="22" s="1"/>
  <c r="T90" i="22"/>
  <c r="T91" i="22" s="1"/>
  <c r="D90" i="22"/>
  <c r="D94" i="22" s="1"/>
  <c r="S59" i="28" l="1"/>
  <c r="Q59" i="28"/>
  <c r="E94" i="22"/>
  <c r="U94" i="22"/>
  <c r="T94" i="22"/>
  <c r="S94" i="22"/>
  <c r="K94" i="22"/>
  <c r="R94" i="22"/>
  <c r="J94" i="22"/>
  <c r="Q94" i="22"/>
  <c r="I94" i="22"/>
  <c r="P94" i="22"/>
  <c r="H94" i="22"/>
  <c r="O94" i="22"/>
  <c r="G94" i="22"/>
  <c r="N94" i="22"/>
  <c r="F94" i="22"/>
  <c r="P36" i="28"/>
  <c r="W36" i="28" s="1"/>
  <c r="V36" i="28"/>
  <c r="O40" i="28"/>
  <c r="U40" i="28"/>
  <c r="U15" i="28"/>
  <c r="O15" i="28"/>
  <c r="O20" i="28"/>
  <c r="U20" i="28"/>
  <c r="O30" i="28"/>
  <c r="U30" i="28"/>
  <c r="O24" i="28"/>
  <c r="U24" i="28"/>
  <c r="U39" i="28"/>
  <c r="O39" i="28"/>
  <c r="O35" i="28"/>
  <c r="U35" i="28"/>
  <c r="O31" i="28"/>
  <c r="U31" i="28"/>
  <c r="V12" i="28"/>
  <c r="P12" i="28"/>
  <c r="W12" i="28" s="1"/>
  <c r="O16" i="28"/>
  <c r="U16" i="28"/>
  <c r="P41" i="28"/>
  <c r="W41" i="28" s="1"/>
  <c r="V41" i="28"/>
  <c r="N27" i="28"/>
  <c r="P46" i="28"/>
  <c r="W46" i="28" s="1"/>
  <c r="N32" i="28"/>
  <c r="V11" i="28"/>
  <c r="T20" i="28"/>
  <c r="T54" i="28" s="1"/>
  <c r="T24" i="28"/>
  <c r="T31" i="28"/>
  <c r="U36" i="28"/>
  <c r="U41" i="28"/>
  <c r="F18" i="10" l="1"/>
  <c r="U54" i="28"/>
  <c r="T55" i="28"/>
  <c r="T56" i="28" s="1"/>
  <c r="P16" i="28"/>
  <c r="W16" i="28" s="1"/>
  <c r="V16" i="28"/>
  <c r="V39" i="28"/>
  <c r="P39" i="28"/>
  <c r="W39" i="28" s="1"/>
  <c r="V15" i="28"/>
  <c r="P15" i="28"/>
  <c r="W15" i="28" s="1"/>
  <c r="V20" i="28"/>
  <c r="P20" i="28"/>
  <c r="W20" i="28" s="1"/>
  <c r="O32" i="28"/>
  <c r="U32" i="28"/>
  <c r="P35" i="28"/>
  <c r="W35" i="28" s="1"/>
  <c r="V35" i="28"/>
  <c r="U27" i="28"/>
  <c r="O27" i="28"/>
  <c r="V24" i="28"/>
  <c r="P24" i="28"/>
  <c r="W24" i="28" s="1"/>
  <c r="P40" i="28"/>
  <c r="W40" i="28" s="1"/>
  <c r="V40" i="28"/>
  <c r="V31" i="28"/>
  <c r="P31" i="28"/>
  <c r="W31" i="28" s="1"/>
  <c r="P30" i="28"/>
  <c r="W30" i="28" s="1"/>
  <c r="V30" i="28"/>
  <c r="G18" i="10" l="1"/>
  <c r="G19" i="10" s="1"/>
  <c r="F19" i="10"/>
  <c r="F12" i="10"/>
  <c r="V54" i="28"/>
  <c r="U55" i="28"/>
  <c r="U56" i="28" s="1"/>
  <c r="P32" i="28"/>
  <c r="W32" i="28" s="1"/>
  <c r="W54" i="28" s="1"/>
  <c r="V32" i="28"/>
  <c r="P27" i="28"/>
  <c r="W27" i="28" s="1"/>
  <c r="V27" i="28"/>
  <c r="G12" i="10" l="1"/>
  <c r="G13" i="10" s="1"/>
  <c r="G28" i="10" s="1"/>
  <c r="F13" i="10"/>
  <c r="F28" i="10" s="1"/>
  <c r="W55" i="28"/>
  <c r="W56" i="28" s="1"/>
  <c r="V55" i="28"/>
  <c r="V56" i="28"/>
  <c r="E88" i="22" l="1"/>
  <c r="F88" i="22"/>
  <c r="G88" i="22"/>
  <c r="H88" i="22"/>
  <c r="I88" i="22"/>
  <c r="J88" i="22"/>
  <c r="K88" i="22"/>
  <c r="L88" i="22"/>
  <c r="M88" i="22"/>
  <c r="N88" i="22"/>
  <c r="O88" i="22"/>
  <c r="P88" i="22"/>
  <c r="Q88" i="22"/>
  <c r="R88" i="22"/>
  <c r="S88" i="22"/>
  <c r="T88" i="22"/>
  <c r="E87" i="22"/>
  <c r="F87" i="22" s="1"/>
  <c r="G87" i="22" s="1"/>
  <c r="H87" i="22" s="1"/>
  <c r="I87" i="22" s="1"/>
  <c r="J87" i="22" s="1"/>
  <c r="K87" i="22" s="1"/>
  <c r="L87" i="22" s="1"/>
  <c r="M87" i="22" s="1"/>
  <c r="N87" i="22" s="1"/>
  <c r="O87" i="22" s="1"/>
  <c r="P87" i="22" s="1"/>
  <c r="Q87" i="22" s="1"/>
  <c r="R87" i="22" s="1"/>
  <c r="S87" i="22" s="1"/>
  <c r="T87" i="22" s="1"/>
  <c r="U87" i="22" s="1"/>
  <c r="U15" i="8"/>
  <c r="U34" i="8" s="1"/>
  <c r="X34" i="8" s="1"/>
  <c r="V9" i="8"/>
  <c r="X9" i="8" s="1"/>
  <c r="U14" i="8"/>
  <c r="Z14" i="8" s="1"/>
  <c r="AE14" i="8" s="1"/>
  <c r="AJ14" i="8" s="1"/>
  <c r="U21" i="8"/>
  <c r="U40" i="8" s="1"/>
  <c r="X40" i="8" s="1"/>
  <c r="U20" i="8"/>
  <c r="Z20" i="8" s="1"/>
  <c r="AE20" i="8" s="1"/>
  <c r="AJ20" i="8" s="1"/>
  <c r="U19" i="8"/>
  <c r="Z19" i="8" s="1"/>
  <c r="AE19" i="8" s="1"/>
  <c r="AJ19" i="8" s="1"/>
  <c r="U18" i="8"/>
  <c r="U37" i="8" s="1"/>
  <c r="X37" i="8" s="1"/>
  <c r="U17" i="8"/>
  <c r="Z17" i="8" s="1"/>
  <c r="AE17" i="8" s="1"/>
  <c r="AJ17" i="8" s="1"/>
  <c r="U16" i="8"/>
  <c r="Z16" i="8" s="1"/>
  <c r="AE16" i="8" s="1"/>
  <c r="AJ16" i="8" s="1"/>
  <c r="U11" i="8"/>
  <c r="U30" i="8" s="1"/>
  <c r="X30" i="8" s="1"/>
  <c r="C19" i="2"/>
  <c r="A29" i="8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D28" i="2"/>
  <c r="D19" i="2"/>
  <c r="F31" i="10"/>
  <c r="G31" i="10" s="1"/>
  <c r="C11" i="15"/>
  <c r="U13" i="8"/>
  <c r="Z13" i="8" s="1"/>
  <c r="AE13" i="8" s="1"/>
  <c r="AJ13" i="8" s="1"/>
  <c r="U12" i="8"/>
  <c r="Z12" i="8" s="1"/>
  <c r="U10" i="8"/>
  <c r="Z10" i="8" s="1"/>
  <c r="AE10" i="8" s="1"/>
  <c r="AJ10" i="8" s="1"/>
  <c r="S10" i="8"/>
  <c r="S11" i="8"/>
  <c r="S12" i="8"/>
  <c r="S13" i="8"/>
  <c r="S14" i="8"/>
  <c r="Z18" i="8" l="1"/>
  <c r="AE18" i="8" s="1"/>
  <c r="AJ18" i="8" s="1"/>
  <c r="U36" i="8"/>
  <c r="X36" i="8" s="1"/>
  <c r="U35" i="8"/>
  <c r="X35" i="8" s="1"/>
  <c r="Z21" i="8"/>
  <c r="AE21" i="8" s="1"/>
  <c r="AJ21" i="8" s="1"/>
  <c r="U38" i="8"/>
  <c r="X38" i="8" s="1"/>
  <c r="Z15" i="8"/>
  <c r="AE15" i="8" s="1"/>
  <c r="AJ15" i="8" s="1"/>
  <c r="U39" i="8"/>
  <c r="X39" i="8" s="1"/>
  <c r="AE12" i="8"/>
  <c r="U31" i="8"/>
  <c r="X31" i="8" s="1"/>
  <c r="Z11" i="8"/>
  <c r="U32" i="8"/>
  <c r="X32" i="8" s="1"/>
  <c r="S22" i="8"/>
  <c r="P89" i="22"/>
  <c r="P92" i="22" s="1"/>
  <c r="Q89" i="22"/>
  <c r="Q92" i="22" s="1"/>
  <c r="I89" i="22"/>
  <c r="I92" i="22" s="1"/>
  <c r="N89" i="22"/>
  <c r="N92" i="22" s="1"/>
  <c r="F89" i="22"/>
  <c r="F92" i="22" s="1"/>
  <c r="H89" i="22"/>
  <c r="H92" i="22" s="1"/>
  <c r="M89" i="22"/>
  <c r="M92" i="22" s="1"/>
  <c r="E89" i="22"/>
  <c r="E92" i="22" s="1"/>
  <c r="G89" i="22"/>
  <c r="G92" i="22" s="1"/>
  <c r="T89" i="22"/>
  <c r="T92" i="22" s="1"/>
  <c r="L89" i="22"/>
  <c r="L92" i="22" s="1"/>
  <c r="D89" i="22"/>
  <c r="O89" i="22"/>
  <c r="O92" i="22" s="1"/>
  <c r="S89" i="22"/>
  <c r="S92" i="22" s="1"/>
  <c r="K89" i="22"/>
  <c r="K92" i="22" s="1"/>
  <c r="R89" i="22"/>
  <c r="R92" i="22" s="1"/>
  <c r="J89" i="22"/>
  <c r="J92" i="22" s="1"/>
  <c r="Z9" i="8"/>
  <c r="AA9" i="8" s="1"/>
  <c r="C36" i="19"/>
  <c r="AJ12" i="8" l="1"/>
  <c r="AE11" i="8"/>
  <c r="AE9" i="8"/>
  <c r="P93" i="22"/>
  <c r="P95" i="22" s="1"/>
  <c r="N93" i="22"/>
  <c r="N95" i="22" s="1"/>
  <c r="D93" i="22"/>
  <c r="D95" i="22" s="1"/>
  <c r="R93" i="22"/>
  <c r="R95" i="22" s="1"/>
  <c r="L93" i="22"/>
  <c r="L95" i="22" s="1"/>
  <c r="K93" i="22"/>
  <c r="K95" i="22" s="1"/>
  <c r="E93" i="22"/>
  <c r="E95" i="22" s="1"/>
  <c r="M93" i="22"/>
  <c r="M95" i="22" s="1"/>
  <c r="S93" i="22"/>
  <c r="S95" i="22" s="1"/>
  <c r="T93" i="22"/>
  <c r="T95" i="22" s="1"/>
  <c r="U93" i="22"/>
  <c r="U95" i="22" s="1"/>
  <c r="J93" i="22"/>
  <c r="J95" i="22" s="1"/>
  <c r="O93" i="22"/>
  <c r="O95" i="22" s="1"/>
  <c r="G93" i="22"/>
  <c r="G95" i="22" s="1"/>
  <c r="H93" i="22"/>
  <c r="H95" i="22" s="1"/>
  <c r="F93" i="22"/>
  <c r="F95" i="22" s="1"/>
  <c r="I93" i="22"/>
  <c r="I95" i="22" s="1"/>
  <c r="Q93" i="22"/>
  <c r="Q95" i="22" s="1"/>
  <c r="D15" i="26"/>
  <c r="E15" i="26" s="1"/>
  <c r="F15" i="26" s="1"/>
  <c r="D7" i="26"/>
  <c r="E7" i="26" s="1"/>
  <c r="F7" i="26" s="1"/>
  <c r="C22" i="26"/>
  <c r="D10" i="26"/>
  <c r="E10" i="26" s="1"/>
  <c r="F10" i="26" s="1"/>
  <c r="D9" i="26"/>
  <c r="E9" i="26" s="1"/>
  <c r="F9" i="26" s="1"/>
  <c r="C22" i="19"/>
  <c r="C24" i="19"/>
  <c r="C23" i="19"/>
  <c r="S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C35" i="19" s="1"/>
  <c r="G9" i="21"/>
  <c r="G8" i="21"/>
  <c r="V70" i="18"/>
  <c r="C46" i="26" l="1"/>
  <c r="F18" i="2" s="1"/>
  <c r="D8" i="26"/>
  <c r="E8" i="26" s="1"/>
  <c r="F8" i="26" s="1"/>
  <c r="F11" i="26" s="1"/>
  <c r="F12" i="26" s="1"/>
  <c r="AJ11" i="8"/>
  <c r="AJ9" i="8"/>
  <c r="E17" i="26"/>
  <c r="F17" i="26"/>
  <c r="D17" i="26"/>
  <c r="D22" i="26"/>
  <c r="AC70" i="18"/>
  <c r="E11" i="26" l="1"/>
  <c r="E12" i="26" s="1"/>
  <c r="D11" i="26"/>
  <c r="D12" i="26" s="1"/>
  <c r="D46" i="26" s="1"/>
  <c r="F22" i="26"/>
  <c r="F46" i="26" s="1"/>
  <c r="E22" i="26"/>
  <c r="T54" i="16"/>
  <c r="E49" i="24"/>
  <c r="D6" i="22"/>
  <c r="C6" i="22"/>
  <c r="AD70" i="18"/>
  <c r="C6" i="19"/>
  <c r="S53" i="24"/>
  <c r="R53" i="24"/>
  <c r="Q53" i="24"/>
  <c r="I7" i="25"/>
  <c r="O7" i="25"/>
  <c r="Q7" i="25"/>
  <c r="V7" i="25"/>
  <c r="BA7" i="25"/>
  <c r="BB7" i="25"/>
  <c r="AD9" i="25" s="1"/>
  <c r="I8" i="25"/>
  <c r="O8" i="25"/>
  <c r="R8" i="25"/>
  <c r="V8" i="25"/>
  <c r="BI8" i="25"/>
  <c r="BJ8" i="25"/>
  <c r="BK8" i="25"/>
  <c r="BL8" i="25"/>
  <c r="I9" i="25"/>
  <c r="O9" i="25"/>
  <c r="R9" i="25"/>
  <c r="V9" i="25"/>
  <c r="BI9" i="25"/>
  <c r="BJ9" i="25"/>
  <c r="BK9" i="25"/>
  <c r="BL9" i="25"/>
  <c r="BL11" i="25" s="1"/>
  <c r="I10" i="25"/>
  <c r="O10" i="25"/>
  <c r="R10" i="25"/>
  <c r="V10" i="25"/>
  <c r="BI10" i="25"/>
  <c r="BJ10" i="25"/>
  <c r="BK10" i="25"/>
  <c r="BL10" i="25"/>
  <c r="I11" i="25"/>
  <c r="O11" i="25"/>
  <c r="V11" i="25"/>
  <c r="BA11" i="25"/>
  <c r="BB11" i="25"/>
  <c r="AD11" i="25" s="1"/>
  <c r="BJ11" i="25"/>
  <c r="I12" i="25"/>
  <c r="O12" i="25"/>
  <c r="R12" i="25"/>
  <c r="V12" i="25"/>
  <c r="O13" i="25"/>
  <c r="R13" i="25"/>
  <c r="V13" i="25"/>
  <c r="I14" i="25"/>
  <c r="O14" i="25"/>
  <c r="R14" i="25"/>
  <c r="V14" i="25"/>
  <c r="I15" i="25"/>
  <c r="O15" i="25"/>
  <c r="V15" i="25"/>
  <c r="BA15" i="25"/>
  <c r="BB15" i="25"/>
  <c r="AD17" i="25" s="1"/>
  <c r="I16" i="25"/>
  <c r="O16" i="25"/>
  <c r="O115" i="25" s="1"/>
  <c r="R16" i="25"/>
  <c r="V16" i="25"/>
  <c r="I17" i="25"/>
  <c r="O17" i="25"/>
  <c r="R17" i="25"/>
  <c r="V17" i="25"/>
  <c r="I18" i="25"/>
  <c r="I101" i="25" s="1"/>
  <c r="O18" i="25"/>
  <c r="R18" i="25"/>
  <c r="V18" i="25"/>
  <c r="I19" i="25"/>
  <c r="O19" i="25"/>
  <c r="V19" i="25"/>
  <c r="BA19" i="25"/>
  <c r="BB19" i="25"/>
  <c r="BC19" i="25" s="1"/>
  <c r="I20" i="25"/>
  <c r="O20" i="25"/>
  <c r="R20" i="25"/>
  <c r="V20" i="25"/>
  <c r="I21" i="25"/>
  <c r="O21" i="25"/>
  <c r="R21" i="25"/>
  <c r="V21" i="25"/>
  <c r="I22" i="25"/>
  <c r="O22" i="25"/>
  <c r="R22" i="25"/>
  <c r="V22" i="25"/>
  <c r="I23" i="25"/>
  <c r="O23" i="25"/>
  <c r="V23" i="25"/>
  <c r="BA23" i="25"/>
  <c r="BB23" i="25"/>
  <c r="BC23" i="25" s="1"/>
  <c r="I24" i="25"/>
  <c r="O24" i="25"/>
  <c r="R24" i="25"/>
  <c r="V24" i="25"/>
  <c r="I25" i="25"/>
  <c r="O25" i="25"/>
  <c r="R25" i="25"/>
  <c r="V25" i="25"/>
  <c r="I26" i="25"/>
  <c r="O26" i="25"/>
  <c r="R26" i="25"/>
  <c r="V26" i="25"/>
  <c r="I27" i="25"/>
  <c r="O27" i="25"/>
  <c r="V27" i="25"/>
  <c r="BA27" i="25"/>
  <c r="BB27" i="25"/>
  <c r="BC27" i="25" s="1"/>
  <c r="BD27" i="25" s="1"/>
  <c r="AR30" i="25" s="1"/>
  <c r="I28" i="25"/>
  <c r="O28" i="25"/>
  <c r="R28" i="25"/>
  <c r="V28" i="25"/>
  <c r="I29" i="25"/>
  <c r="O29" i="25"/>
  <c r="R29" i="25"/>
  <c r="V29" i="25"/>
  <c r="I30" i="25"/>
  <c r="O30" i="25"/>
  <c r="R30" i="25"/>
  <c r="V30" i="25"/>
  <c r="I31" i="25"/>
  <c r="O31" i="25"/>
  <c r="V31" i="25"/>
  <c r="BA31" i="25"/>
  <c r="BB31" i="25"/>
  <c r="I32" i="25"/>
  <c r="O32" i="25"/>
  <c r="R32" i="25"/>
  <c r="I33" i="25"/>
  <c r="O33" i="25"/>
  <c r="R33" i="25"/>
  <c r="V33" i="25"/>
  <c r="I34" i="25"/>
  <c r="O34" i="25"/>
  <c r="R34" i="25"/>
  <c r="V34" i="25"/>
  <c r="I35" i="25"/>
  <c r="O35" i="25"/>
  <c r="V35" i="25"/>
  <c r="BA35" i="25"/>
  <c r="BB35" i="25" s="1"/>
  <c r="I36" i="25"/>
  <c r="P36" i="25"/>
  <c r="R36" i="25"/>
  <c r="V36" i="25"/>
  <c r="V117" i="25" s="1"/>
  <c r="I37" i="25"/>
  <c r="P37" i="25"/>
  <c r="P100" i="25" s="1"/>
  <c r="R37" i="25"/>
  <c r="V37" i="25"/>
  <c r="I38" i="25"/>
  <c r="O38" i="25"/>
  <c r="R38" i="25"/>
  <c r="V38" i="25"/>
  <c r="I39" i="25"/>
  <c r="O39" i="25"/>
  <c r="V39" i="25"/>
  <c r="BA39" i="25"/>
  <c r="BB39" i="25"/>
  <c r="AD39" i="25" s="1"/>
  <c r="I40" i="25"/>
  <c r="O40" i="25"/>
  <c r="R40" i="25"/>
  <c r="V40" i="25"/>
  <c r="I41" i="25"/>
  <c r="O41" i="25"/>
  <c r="R41" i="25"/>
  <c r="V41" i="25"/>
  <c r="I42" i="25"/>
  <c r="O42" i="25"/>
  <c r="R42" i="25"/>
  <c r="V42" i="25"/>
  <c r="I43" i="25"/>
  <c r="O43" i="25"/>
  <c r="V43" i="25"/>
  <c r="BA43" i="25"/>
  <c r="BB43" i="25"/>
  <c r="AD43" i="25" s="1"/>
  <c r="I44" i="25"/>
  <c r="O44" i="25"/>
  <c r="R44" i="25"/>
  <c r="V44" i="25"/>
  <c r="I45" i="25"/>
  <c r="O45" i="25"/>
  <c r="R45" i="25"/>
  <c r="V45" i="25"/>
  <c r="I46" i="25"/>
  <c r="O46" i="25"/>
  <c r="R46" i="25"/>
  <c r="V46" i="25"/>
  <c r="I47" i="25"/>
  <c r="O47" i="25"/>
  <c r="V47" i="25"/>
  <c r="BA47" i="25"/>
  <c r="BB47" i="25" s="1"/>
  <c r="BC47" i="25" s="1"/>
  <c r="I48" i="25"/>
  <c r="O48" i="25"/>
  <c r="R48" i="25"/>
  <c r="V48" i="25"/>
  <c r="I49" i="25"/>
  <c r="O49" i="25"/>
  <c r="R49" i="25"/>
  <c r="V49" i="25"/>
  <c r="I50" i="25"/>
  <c r="O50" i="25"/>
  <c r="O118" i="25" s="1"/>
  <c r="R50" i="25"/>
  <c r="V50" i="25"/>
  <c r="I51" i="25"/>
  <c r="O51" i="25"/>
  <c r="V51" i="25"/>
  <c r="BA51" i="25"/>
  <c r="BB51" i="25" s="1"/>
  <c r="I52" i="25"/>
  <c r="O52" i="25"/>
  <c r="R52" i="25"/>
  <c r="V52" i="25"/>
  <c r="I53" i="25"/>
  <c r="I118" i="25" s="1"/>
  <c r="O53" i="25"/>
  <c r="R53" i="25"/>
  <c r="V53" i="25"/>
  <c r="I54" i="25"/>
  <c r="O54" i="25"/>
  <c r="R54" i="25"/>
  <c r="V54" i="25"/>
  <c r="E55" i="25"/>
  <c r="G55" i="25"/>
  <c r="H55" i="25"/>
  <c r="J55" i="25"/>
  <c r="J106" i="25" s="1"/>
  <c r="K55" i="25"/>
  <c r="M55" i="25"/>
  <c r="N55" i="25"/>
  <c r="P55" i="25"/>
  <c r="Q55" i="25"/>
  <c r="S55" i="25"/>
  <c r="S23" i="25" s="1"/>
  <c r="R23" i="25" s="1"/>
  <c r="T55" i="25"/>
  <c r="T95" i="25" s="1"/>
  <c r="U55" i="25"/>
  <c r="W55" i="25"/>
  <c r="W60" i="25" s="1"/>
  <c r="X55" i="25"/>
  <c r="Z55" i="25"/>
  <c r="AA55" i="25"/>
  <c r="AB55" i="25"/>
  <c r="AC55" i="25"/>
  <c r="AE55" i="25"/>
  <c r="AG55" i="25"/>
  <c r="AH55" i="25"/>
  <c r="AH106" i="25" s="1"/>
  <c r="AI55" i="25"/>
  <c r="AJ55" i="25"/>
  <c r="AL55" i="25"/>
  <c r="AN55" i="25"/>
  <c r="AO55" i="25"/>
  <c r="AP55" i="25"/>
  <c r="AP106" i="25" s="1"/>
  <c r="AQ55" i="25"/>
  <c r="AS55" i="25"/>
  <c r="AU55" i="25"/>
  <c r="AV55" i="25"/>
  <c r="AW55" i="25"/>
  <c r="AW106" i="25" s="1"/>
  <c r="AX55" i="25"/>
  <c r="BA55" i="25"/>
  <c r="J60" i="25"/>
  <c r="W61" i="25"/>
  <c r="I66" i="25"/>
  <c r="I98" i="25" s="1"/>
  <c r="O66" i="25"/>
  <c r="V66" i="25"/>
  <c r="AC66" i="25"/>
  <c r="AI66" i="25"/>
  <c r="AK66" i="25"/>
  <c r="AP66" i="25"/>
  <c r="AR66" i="25"/>
  <c r="AY66" i="25"/>
  <c r="P67" i="25"/>
  <c r="W67" i="25"/>
  <c r="W70" i="25" s="1"/>
  <c r="AD67" i="25"/>
  <c r="AI67" i="25"/>
  <c r="AK67" i="25"/>
  <c r="AP67" i="25"/>
  <c r="AR67" i="25"/>
  <c r="AY67" i="25"/>
  <c r="I68" i="25"/>
  <c r="O68" i="25"/>
  <c r="W68" i="25"/>
  <c r="AD68" i="25"/>
  <c r="AI68" i="25"/>
  <c r="AK68" i="25"/>
  <c r="AP68" i="25"/>
  <c r="AY68" i="25"/>
  <c r="I69" i="25"/>
  <c r="O69" i="25"/>
  <c r="V69" i="25"/>
  <c r="G70" i="25"/>
  <c r="H70" i="25"/>
  <c r="H95" i="25" s="1"/>
  <c r="J70" i="25"/>
  <c r="J107" i="25" s="1"/>
  <c r="M70" i="25"/>
  <c r="N70" i="25"/>
  <c r="P70" i="25"/>
  <c r="T70" i="25"/>
  <c r="U70" i="25"/>
  <c r="AB70" i="25"/>
  <c r="AI70" i="25"/>
  <c r="AI107" i="25" s="1"/>
  <c r="AW70" i="25"/>
  <c r="I75" i="25"/>
  <c r="O75" i="25"/>
  <c r="V75" i="25"/>
  <c r="AD75" i="25"/>
  <c r="AI75" i="25"/>
  <c r="AI98" i="25" s="1"/>
  <c r="I76" i="25"/>
  <c r="O76" i="25"/>
  <c r="V76" i="25"/>
  <c r="AD76" i="25"/>
  <c r="AI76" i="25"/>
  <c r="AK76" i="25"/>
  <c r="AP76" i="25"/>
  <c r="I77" i="25"/>
  <c r="O77" i="25"/>
  <c r="V77" i="25"/>
  <c r="AD77" i="25"/>
  <c r="AI77" i="25"/>
  <c r="AI100" i="25" s="1"/>
  <c r="AK77" i="25"/>
  <c r="AP77" i="25"/>
  <c r="I78" i="25"/>
  <c r="O78" i="25"/>
  <c r="V78" i="25"/>
  <c r="G79" i="25"/>
  <c r="H79" i="25"/>
  <c r="H108" i="25" s="1"/>
  <c r="J79" i="25"/>
  <c r="M79" i="25"/>
  <c r="M108" i="25" s="1"/>
  <c r="N79" i="25"/>
  <c r="P79" i="25"/>
  <c r="T79" i="25"/>
  <c r="U79" i="25"/>
  <c r="W79" i="25"/>
  <c r="AD79" i="25"/>
  <c r="AD108" i="25" s="1"/>
  <c r="I82" i="25"/>
  <c r="O82" i="25"/>
  <c r="V82" i="25"/>
  <c r="AD82" i="25"/>
  <c r="AK82" i="25"/>
  <c r="AK86" i="25" s="1"/>
  <c r="AR82" i="25"/>
  <c r="AY82" i="25"/>
  <c r="AY86" i="25" s="1"/>
  <c r="AY109" i="25" s="1"/>
  <c r="I83" i="25"/>
  <c r="O83" i="25"/>
  <c r="V83" i="25"/>
  <c r="AD83" i="25"/>
  <c r="AK83" i="25"/>
  <c r="AR83" i="25"/>
  <c r="AY83" i="25"/>
  <c r="I84" i="25"/>
  <c r="V84" i="25"/>
  <c r="AD84" i="25"/>
  <c r="AK84" i="25"/>
  <c r="AR84" i="25"/>
  <c r="AY84" i="25"/>
  <c r="I85" i="25"/>
  <c r="O85" i="25"/>
  <c r="V85" i="25"/>
  <c r="G86" i="25"/>
  <c r="H86" i="25"/>
  <c r="J86" i="25"/>
  <c r="M86" i="25"/>
  <c r="N86" i="25"/>
  <c r="P86" i="25"/>
  <c r="P109" i="25" s="1"/>
  <c r="T86" i="25"/>
  <c r="U86" i="25"/>
  <c r="W86" i="25"/>
  <c r="AR86" i="25"/>
  <c r="I89" i="25"/>
  <c r="O89" i="25"/>
  <c r="V89" i="25"/>
  <c r="AB89" i="25"/>
  <c r="AD89" i="25"/>
  <c r="AI89" i="25"/>
  <c r="AK89" i="25"/>
  <c r="AP89" i="25"/>
  <c r="AR89" i="25"/>
  <c r="I90" i="25"/>
  <c r="O90" i="25"/>
  <c r="V90" i="25"/>
  <c r="AB90" i="25"/>
  <c r="AD90" i="25"/>
  <c r="I91" i="25"/>
  <c r="O91" i="25"/>
  <c r="O100" i="25" s="1"/>
  <c r="V91" i="25"/>
  <c r="AB91" i="25"/>
  <c r="AI91" i="25" s="1"/>
  <c r="AD91" i="25"/>
  <c r="I92" i="25"/>
  <c r="O92" i="25"/>
  <c r="V92" i="25"/>
  <c r="AB92" i="25"/>
  <c r="AD92" i="25"/>
  <c r="AI92" i="25"/>
  <c r="G93" i="25"/>
  <c r="H93" i="25"/>
  <c r="J93" i="25"/>
  <c r="J110" i="25" s="1"/>
  <c r="M93" i="25"/>
  <c r="N93" i="25"/>
  <c r="P93" i="25"/>
  <c r="T93" i="25"/>
  <c r="U93" i="25"/>
  <c r="W93" i="25"/>
  <c r="E98" i="25"/>
  <c r="F98" i="25"/>
  <c r="G98" i="25"/>
  <c r="H98" i="25"/>
  <c r="J98" i="25"/>
  <c r="K98" i="25"/>
  <c r="K102" i="25" s="1"/>
  <c r="K125" i="25" s="1"/>
  <c r="L98" i="25"/>
  <c r="M98" i="25"/>
  <c r="N98" i="25"/>
  <c r="P98" i="25"/>
  <c r="Q98" i="25"/>
  <c r="T98" i="25"/>
  <c r="U98" i="25"/>
  <c r="W98" i="25"/>
  <c r="AA98" i="25"/>
  <c r="AB98" i="25"/>
  <c r="AH98" i="25"/>
  <c r="AJ98" i="25"/>
  <c r="AO98" i="25"/>
  <c r="AQ98" i="25"/>
  <c r="AV98" i="25"/>
  <c r="AX98" i="25"/>
  <c r="E99" i="25"/>
  <c r="F99" i="25"/>
  <c r="G99" i="25"/>
  <c r="H99" i="25"/>
  <c r="J99" i="25"/>
  <c r="K99" i="25"/>
  <c r="L99" i="25"/>
  <c r="M99" i="25"/>
  <c r="N99" i="25"/>
  <c r="P99" i="25"/>
  <c r="Q99" i="25"/>
  <c r="R99" i="25"/>
  <c r="S99" i="25"/>
  <c r="T99" i="25"/>
  <c r="U99" i="25"/>
  <c r="W99" i="25"/>
  <c r="X99" i="25"/>
  <c r="Z99" i="25"/>
  <c r="AA99" i="25"/>
  <c r="AC99" i="25"/>
  <c r="AE99" i="25"/>
  <c r="AG99" i="25"/>
  <c r="AH99" i="25"/>
  <c r="AJ99" i="25"/>
  <c r="AL99" i="25"/>
  <c r="AN99" i="25"/>
  <c r="AO99" i="25"/>
  <c r="AQ99" i="25"/>
  <c r="AS99" i="25"/>
  <c r="AU99" i="25"/>
  <c r="AV99" i="25"/>
  <c r="AX99" i="25"/>
  <c r="E100" i="25"/>
  <c r="F100" i="25"/>
  <c r="G100" i="25"/>
  <c r="H100" i="25"/>
  <c r="J100" i="25"/>
  <c r="K100" i="25"/>
  <c r="L100" i="25"/>
  <c r="L102" i="25" s="1"/>
  <c r="L125" i="25" s="1"/>
  <c r="M100" i="25"/>
  <c r="N100" i="25"/>
  <c r="Q100" i="25"/>
  <c r="S100" i="25"/>
  <c r="T100" i="25"/>
  <c r="U100" i="25"/>
  <c r="W100" i="25"/>
  <c r="X100" i="25"/>
  <c r="Z100" i="25"/>
  <c r="AA100" i="25"/>
  <c r="AB100" i="25"/>
  <c r="AC100" i="25"/>
  <c r="AE100" i="25"/>
  <c r="AG100" i="25"/>
  <c r="AH100" i="25"/>
  <c r="AJ100" i="25"/>
  <c r="AL100" i="25"/>
  <c r="AN100" i="25"/>
  <c r="AO100" i="25"/>
  <c r="AQ100" i="25"/>
  <c r="AS100" i="25"/>
  <c r="AU100" i="25"/>
  <c r="AV100" i="25"/>
  <c r="AX100" i="25"/>
  <c r="E101" i="25"/>
  <c r="F101" i="25"/>
  <c r="G101" i="25"/>
  <c r="H101" i="25"/>
  <c r="J101" i="25"/>
  <c r="J102" i="25" s="1"/>
  <c r="K101" i="25"/>
  <c r="L101" i="25"/>
  <c r="M101" i="25"/>
  <c r="N101" i="25"/>
  <c r="P101" i="25"/>
  <c r="Q101" i="25"/>
  <c r="R101" i="25"/>
  <c r="S101" i="25"/>
  <c r="T101" i="25"/>
  <c r="U101" i="25"/>
  <c r="W101" i="25"/>
  <c r="X101" i="25"/>
  <c r="Z101" i="25"/>
  <c r="AA101" i="25"/>
  <c r="AB101" i="25"/>
  <c r="AC101" i="25"/>
  <c r="AE101" i="25"/>
  <c r="AG101" i="25"/>
  <c r="AH101" i="25"/>
  <c r="AJ101" i="25"/>
  <c r="AL101" i="25"/>
  <c r="AN101" i="25"/>
  <c r="AO101" i="25"/>
  <c r="AQ101" i="25"/>
  <c r="AS101" i="25"/>
  <c r="AU101" i="25"/>
  <c r="AV101" i="25"/>
  <c r="AX101" i="25"/>
  <c r="F102" i="25"/>
  <c r="Q102" i="25"/>
  <c r="Q124" i="25" s="1"/>
  <c r="Y102" i="25"/>
  <c r="AF102" i="25"/>
  <c r="AF127" i="25" s="1"/>
  <c r="AM102" i="25"/>
  <c r="E106" i="25"/>
  <c r="F106" i="25"/>
  <c r="G106" i="25"/>
  <c r="H106" i="25"/>
  <c r="I106" i="25"/>
  <c r="K106" i="25"/>
  <c r="L106" i="25"/>
  <c r="M106" i="25"/>
  <c r="N106" i="25"/>
  <c r="O106" i="25"/>
  <c r="Q106" i="25"/>
  <c r="U106" i="25"/>
  <c r="W106" i="25"/>
  <c r="W111" i="25" s="1"/>
  <c r="Z106" i="25"/>
  <c r="AA106" i="25"/>
  <c r="AB106" i="25"/>
  <c r="AC106" i="25"/>
  <c r="AE106" i="25"/>
  <c r="AI106" i="25"/>
  <c r="AJ106" i="25"/>
  <c r="AL106" i="25"/>
  <c r="AO106" i="25"/>
  <c r="AQ106" i="25"/>
  <c r="AQ111" i="25" s="1"/>
  <c r="AS106" i="25"/>
  <c r="AU106" i="25"/>
  <c r="AU111" i="25" s="1"/>
  <c r="AV106" i="25"/>
  <c r="AX106" i="25"/>
  <c r="E107" i="25"/>
  <c r="F107" i="25"/>
  <c r="G107" i="25"/>
  <c r="H107" i="25"/>
  <c r="I107" i="25"/>
  <c r="K107" i="25"/>
  <c r="L107" i="25"/>
  <c r="M107" i="25"/>
  <c r="N107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E107" i="25"/>
  <c r="AF107" i="25"/>
  <c r="AG107" i="25"/>
  <c r="AH107" i="25"/>
  <c r="AJ107" i="25"/>
  <c r="AL107" i="25"/>
  <c r="AM107" i="25"/>
  <c r="AN107" i="25"/>
  <c r="AO107" i="25"/>
  <c r="AQ107" i="25"/>
  <c r="AS107" i="25"/>
  <c r="AU107" i="25"/>
  <c r="AV107" i="25"/>
  <c r="AW107" i="25"/>
  <c r="AX107" i="25"/>
  <c r="E108" i="25"/>
  <c r="F108" i="25"/>
  <c r="G108" i="25"/>
  <c r="I108" i="25"/>
  <c r="J108" i="25"/>
  <c r="K108" i="25"/>
  <c r="L108" i="25"/>
  <c r="N108" i="25"/>
  <c r="O108" i="25"/>
  <c r="P108" i="25"/>
  <c r="Q108" i="25"/>
  <c r="R108" i="25"/>
  <c r="S108" i="25"/>
  <c r="T108" i="25"/>
  <c r="V108" i="25"/>
  <c r="W108" i="25"/>
  <c r="X108" i="25"/>
  <c r="Y108" i="25"/>
  <c r="Z108" i="25"/>
  <c r="AA108" i="25"/>
  <c r="AB108" i="25"/>
  <c r="AC108" i="25"/>
  <c r="AE108" i="25"/>
  <c r="AF108" i="25"/>
  <c r="AG108" i="25"/>
  <c r="AH108" i="25"/>
  <c r="AH111" i="25" s="1"/>
  <c r="AI108" i="25"/>
  <c r="AJ108" i="25"/>
  <c r="AL108" i="25"/>
  <c r="AM108" i="25"/>
  <c r="AN108" i="25"/>
  <c r="AO108" i="25"/>
  <c r="AP108" i="25"/>
  <c r="AQ108" i="25"/>
  <c r="AS108" i="25"/>
  <c r="AU108" i="25"/>
  <c r="AV108" i="25"/>
  <c r="AW108" i="25"/>
  <c r="AX108" i="25"/>
  <c r="E109" i="25"/>
  <c r="F109" i="25"/>
  <c r="G109" i="25"/>
  <c r="H109" i="25"/>
  <c r="I109" i="25"/>
  <c r="J109" i="25"/>
  <c r="K109" i="25"/>
  <c r="L109" i="25"/>
  <c r="M109" i="25"/>
  <c r="N109" i="25"/>
  <c r="O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E109" i="25"/>
  <c r="AF109" i="25"/>
  <c r="AG109" i="25"/>
  <c r="AH109" i="25"/>
  <c r="AI109" i="25"/>
  <c r="AJ109" i="25"/>
  <c r="AK109" i="25"/>
  <c r="AL109" i="25"/>
  <c r="AM109" i="25"/>
  <c r="AN109" i="25"/>
  <c r="AO109" i="25"/>
  <c r="AO111" i="25" s="1"/>
  <c r="AP109" i="25"/>
  <c r="AQ109" i="25"/>
  <c r="AR109" i="25"/>
  <c r="AS109" i="25"/>
  <c r="AU109" i="25"/>
  <c r="AV109" i="25"/>
  <c r="AW109" i="25"/>
  <c r="AX109" i="25"/>
  <c r="E110" i="25"/>
  <c r="F110" i="25"/>
  <c r="F111" i="25" s="1"/>
  <c r="F133" i="25" s="1"/>
  <c r="G110" i="25"/>
  <c r="H110" i="25"/>
  <c r="I110" i="25"/>
  <c r="K110" i="25"/>
  <c r="L110" i="25"/>
  <c r="M110" i="25"/>
  <c r="N110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C110" i="25"/>
  <c r="AE110" i="25"/>
  <c r="AF110" i="25"/>
  <c r="AG110" i="25"/>
  <c r="AH110" i="25"/>
  <c r="AJ110" i="25"/>
  <c r="AL110" i="25"/>
  <c r="AM110" i="25"/>
  <c r="AN110" i="25"/>
  <c r="AO110" i="25"/>
  <c r="AQ110" i="25"/>
  <c r="AS110" i="25"/>
  <c r="AU110" i="25"/>
  <c r="AV110" i="25"/>
  <c r="AX110" i="25"/>
  <c r="E111" i="25"/>
  <c r="E136" i="25" s="1"/>
  <c r="K111" i="25"/>
  <c r="K132" i="25" s="1"/>
  <c r="L111" i="25"/>
  <c r="AX111" i="25"/>
  <c r="E115" i="25"/>
  <c r="F115" i="25"/>
  <c r="G115" i="25"/>
  <c r="H115" i="25"/>
  <c r="I115" i="25"/>
  <c r="J115" i="25"/>
  <c r="K115" i="25"/>
  <c r="L115" i="25"/>
  <c r="M115" i="25"/>
  <c r="N115" i="25"/>
  <c r="P115" i="25"/>
  <c r="Q115" i="25"/>
  <c r="T115" i="25"/>
  <c r="U115" i="25"/>
  <c r="W115" i="25"/>
  <c r="E116" i="25"/>
  <c r="F116" i="25"/>
  <c r="G116" i="25"/>
  <c r="H116" i="25"/>
  <c r="I116" i="25"/>
  <c r="J116" i="25"/>
  <c r="K116" i="25"/>
  <c r="L116" i="25"/>
  <c r="M116" i="25"/>
  <c r="N116" i="25"/>
  <c r="O116" i="25"/>
  <c r="P116" i="25"/>
  <c r="Q116" i="25"/>
  <c r="T116" i="25"/>
  <c r="U116" i="25"/>
  <c r="V116" i="25"/>
  <c r="W116" i="25"/>
  <c r="E117" i="25"/>
  <c r="F117" i="25"/>
  <c r="G117" i="25"/>
  <c r="H117" i="25"/>
  <c r="I117" i="25"/>
  <c r="J117" i="25"/>
  <c r="K117" i="25"/>
  <c r="L117" i="25"/>
  <c r="M117" i="25"/>
  <c r="N117" i="25"/>
  <c r="P117" i="25"/>
  <c r="Q117" i="25"/>
  <c r="T117" i="25"/>
  <c r="U117" i="25"/>
  <c r="W117" i="25"/>
  <c r="E118" i="25"/>
  <c r="F118" i="25"/>
  <c r="G118" i="25"/>
  <c r="H118" i="25"/>
  <c r="J118" i="25"/>
  <c r="K118" i="25"/>
  <c r="L118" i="25"/>
  <c r="M118" i="25"/>
  <c r="N118" i="25"/>
  <c r="P118" i="25"/>
  <c r="Q118" i="25"/>
  <c r="T118" i="25"/>
  <c r="U118" i="25"/>
  <c r="W118" i="25"/>
  <c r="E119" i="25"/>
  <c r="E120" i="25" s="1"/>
  <c r="F119" i="25"/>
  <c r="G119" i="25"/>
  <c r="H119" i="25"/>
  <c r="I119" i="25"/>
  <c r="J119" i="25"/>
  <c r="K119" i="25"/>
  <c r="L119" i="25"/>
  <c r="M119" i="25"/>
  <c r="N119" i="25"/>
  <c r="O119" i="25"/>
  <c r="P119" i="25"/>
  <c r="Q119" i="25"/>
  <c r="R119" i="25"/>
  <c r="S119" i="25"/>
  <c r="T119" i="25"/>
  <c r="U119" i="25"/>
  <c r="V119" i="25"/>
  <c r="W119" i="25"/>
  <c r="AD119" i="25"/>
  <c r="AK119" i="25"/>
  <c r="AR119" i="25"/>
  <c r="AY119" i="25"/>
  <c r="L120" i="25"/>
  <c r="P120" i="25"/>
  <c r="X120" i="25"/>
  <c r="Y120" i="25"/>
  <c r="Y142" i="25" s="1"/>
  <c r="Z120" i="25"/>
  <c r="Z141" i="25" s="1"/>
  <c r="AE120" i="25"/>
  <c r="AE140" i="25" s="1"/>
  <c r="AF120" i="25"/>
  <c r="AG120" i="25"/>
  <c r="AL120" i="25"/>
  <c r="AM120" i="25"/>
  <c r="AM142" i="25" s="1"/>
  <c r="AN120" i="25"/>
  <c r="AN140" i="25" s="1"/>
  <c r="AS120" i="25"/>
  <c r="AS144" i="25" s="1"/>
  <c r="AU120" i="25"/>
  <c r="AV120" i="25"/>
  <c r="F124" i="25"/>
  <c r="F128" i="25" s="1"/>
  <c r="J124" i="25"/>
  <c r="L124" i="25"/>
  <c r="Y124" i="25"/>
  <c r="AF124" i="25"/>
  <c r="AM124" i="25"/>
  <c r="F125" i="25"/>
  <c r="Y125" i="25"/>
  <c r="AF125" i="25"/>
  <c r="AM125" i="25"/>
  <c r="F126" i="25"/>
  <c r="K126" i="25"/>
  <c r="Y126" i="25"/>
  <c r="AF126" i="25"/>
  <c r="AM126" i="25"/>
  <c r="F127" i="25"/>
  <c r="L127" i="25"/>
  <c r="Y127" i="25"/>
  <c r="AM127" i="25"/>
  <c r="AM128" i="25" s="1"/>
  <c r="Y128" i="25"/>
  <c r="AF128" i="25"/>
  <c r="F132" i="25"/>
  <c r="W132" i="25"/>
  <c r="L133" i="25"/>
  <c r="F134" i="25"/>
  <c r="L134" i="25"/>
  <c r="W134" i="25"/>
  <c r="F135" i="25"/>
  <c r="K135" i="25"/>
  <c r="L135" i="25"/>
  <c r="F136" i="25"/>
  <c r="L140" i="25"/>
  <c r="X140" i="25"/>
  <c r="Y140" i="25"/>
  <c r="Y145" i="25" s="1"/>
  <c r="AG140" i="25"/>
  <c r="AL140" i="25"/>
  <c r="AM140" i="25"/>
  <c r="AM145" i="25" s="1"/>
  <c r="AS140" i="25"/>
  <c r="AV140" i="25"/>
  <c r="X141" i="25"/>
  <c r="Y141" i="25"/>
  <c r="AE141" i="25"/>
  <c r="AF141" i="25"/>
  <c r="AG141" i="25"/>
  <c r="AL141" i="25"/>
  <c r="AM141" i="25"/>
  <c r="AN141" i="25"/>
  <c r="AS141" i="25"/>
  <c r="AV141" i="25"/>
  <c r="L142" i="25"/>
  <c r="X142" i="25"/>
  <c r="AE142" i="25"/>
  <c r="AG142" i="25"/>
  <c r="AG145" i="25" s="1"/>
  <c r="AL142" i="25"/>
  <c r="AS142" i="25"/>
  <c r="AV142" i="25"/>
  <c r="P143" i="25"/>
  <c r="X143" i="25"/>
  <c r="Y143" i="25"/>
  <c r="AE143" i="25"/>
  <c r="AF143" i="25"/>
  <c r="AG143" i="25"/>
  <c r="AL143" i="25"/>
  <c r="AL145" i="25" s="1"/>
  <c r="AM143" i="25"/>
  <c r="AS143" i="25"/>
  <c r="AV143" i="25"/>
  <c r="X144" i="25"/>
  <c r="Y144" i="25"/>
  <c r="AE144" i="25"/>
  <c r="AG144" i="25"/>
  <c r="AL144" i="25"/>
  <c r="AM144" i="25"/>
  <c r="AV144" i="25"/>
  <c r="E46" i="26" l="1"/>
  <c r="G18" i="2"/>
  <c r="AU57" i="25"/>
  <c r="BC39" i="25"/>
  <c r="AK42" i="25" s="1"/>
  <c r="BD19" i="25"/>
  <c r="AR22" i="25" s="1"/>
  <c r="AK19" i="25"/>
  <c r="AK20" i="25"/>
  <c r="AK22" i="25"/>
  <c r="BD47" i="25"/>
  <c r="AR48" i="25" s="1"/>
  <c r="AK48" i="25"/>
  <c r="AK47" i="25"/>
  <c r="BC43" i="25"/>
  <c r="BD39" i="25"/>
  <c r="AK27" i="25"/>
  <c r="BC11" i="25"/>
  <c r="AK40" i="25"/>
  <c r="AD19" i="25"/>
  <c r="AT55" i="25"/>
  <c r="AD41" i="25"/>
  <c r="AD13" i="25"/>
  <c r="AK21" i="25"/>
  <c r="AD29" i="25"/>
  <c r="AD21" i="25"/>
  <c r="Z57" i="25"/>
  <c r="Z23" i="25" s="1"/>
  <c r="S51" i="25"/>
  <c r="Z51" i="25" s="1"/>
  <c r="S15" i="25"/>
  <c r="R15" i="25" s="1"/>
  <c r="S27" i="25"/>
  <c r="R27" i="25" s="1"/>
  <c r="S7" i="25"/>
  <c r="S39" i="25"/>
  <c r="S47" i="25"/>
  <c r="Z47" i="25" s="1"/>
  <c r="S35" i="25"/>
  <c r="Z35" i="25" s="1"/>
  <c r="S106" i="25"/>
  <c r="S111" i="25" s="1"/>
  <c r="S31" i="25"/>
  <c r="R31" i="25" s="1"/>
  <c r="J142" i="25"/>
  <c r="AS145" i="25"/>
  <c r="L145" i="25"/>
  <c r="AU140" i="25"/>
  <c r="AU144" i="25"/>
  <c r="AU141" i="25"/>
  <c r="AE145" i="25"/>
  <c r="K143" i="25"/>
  <c r="AG57" i="25"/>
  <c r="AF55" i="25"/>
  <c r="AU143" i="25"/>
  <c r="AV145" i="25"/>
  <c r="F120" i="25"/>
  <c r="P102" i="25"/>
  <c r="P125" i="25"/>
  <c r="AW76" i="25"/>
  <c r="AR76" i="25"/>
  <c r="Z144" i="25"/>
  <c r="Z143" i="25"/>
  <c r="Z142" i="25"/>
  <c r="Z140" i="25"/>
  <c r="AU134" i="25"/>
  <c r="AU136" i="25"/>
  <c r="AL111" i="25"/>
  <c r="AL136" i="25" s="1"/>
  <c r="Q142" i="25"/>
  <c r="AG106" i="25"/>
  <c r="AU135" i="25"/>
  <c r="K133" i="25"/>
  <c r="K134" i="25"/>
  <c r="AV111" i="25"/>
  <c r="AV134" i="25" s="1"/>
  <c r="J126" i="25"/>
  <c r="J128" i="25" s="1"/>
  <c r="J125" i="25"/>
  <c r="AR68" i="25"/>
  <c r="AR70" i="25"/>
  <c r="AR107" i="25" s="1"/>
  <c r="E134" i="25"/>
  <c r="E132" i="25"/>
  <c r="E135" i="25"/>
  <c r="AN144" i="25"/>
  <c r="AN143" i="25"/>
  <c r="AN142" i="25"/>
  <c r="AN145" i="25" s="1"/>
  <c r="AK23" i="25"/>
  <c r="BD23" i="25"/>
  <c r="AK26" i="25"/>
  <c r="AK25" i="25"/>
  <c r="AK24" i="25"/>
  <c r="Q120" i="25"/>
  <c r="Q128" i="25"/>
  <c r="J111" i="25"/>
  <c r="AP70" i="25"/>
  <c r="AP107" i="25" s="1"/>
  <c r="X106" i="25"/>
  <c r="Y55" i="25"/>
  <c r="AR77" i="25"/>
  <c r="AW77" i="25"/>
  <c r="AU132" i="25"/>
  <c r="AU133" i="25"/>
  <c r="E133" i="25"/>
  <c r="P121" i="25"/>
  <c r="P144" i="25"/>
  <c r="E143" i="25"/>
  <c r="E142" i="25"/>
  <c r="E141" i="25"/>
  <c r="E140" i="25"/>
  <c r="E145" i="25" s="1"/>
  <c r="AU142" i="25"/>
  <c r="P142" i="25"/>
  <c r="X145" i="25"/>
  <c r="AF140" i="25"/>
  <c r="AF144" i="25"/>
  <c r="AF142" i="25"/>
  <c r="L144" i="25"/>
  <c r="L141" i="25"/>
  <c r="L143" i="25"/>
  <c r="P140" i="25"/>
  <c r="P145" i="25" s="1"/>
  <c r="Z111" i="25"/>
  <c r="Z132" i="25" s="1"/>
  <c r="AJ111" i="25"/>
  <c r="P106" i="25"/>
  <c r="P60" i="25"/>
  <c r="E144" i="25"/>
  <c r="W136" i="25"/>
  <c r="Q127" i="25"/>
  <c r="K124" i="25"/>
  <c r="K128" i="25" s="1"/>
  <c r="K142" i="25"/>
  <c r="K120" i="25"/>
  <c r="P141" i="25"/>
  <c r="AS111" i="25"/>
  <c r="AV102" i="25"/>
  <c r="AV127" i="25" s="1"/>
  <c r="E102" i="25"/>
  <c r="E126" i="25" s="1"/>
  <c r="AK92" i="25"/>
  <c r="AP92" i="25"/>
  <c r="AI101" i="25"/>
  <c r="AK91" i="25"/>
  <c r="AP91" i="25"/>
  <c r="AP100" i="25" s="1"/>
  <c r="M95" i="25"/>
  <c r="AY70" i="25"/>
  <c r="AY107" i="25" s="1"/>
  <c r="N95" i="25"/>
  <c r="BE27" i="25"/>
  <c r="AR27" i="25"/>
  <c r="AR29" i="25"/>
  <c r="AR28" i="25"/>
  <c r="AD22" i="25"/>
  <c r="AD42" i="25"/>
  <c r="AD18" i="25"/>
  <c r="AD14" i="25"/>
  <c r="AD30" i="25"/>
  <c r="AD26" i="25"/>
  <c r="AD25" i="25"/>
  <c r="AD24" i="25"/>
  <c r="Q125" i="25"/>
  <c r="O101" i="25"/>
  <c r="J127" i="25"/>
  <c r="Q126" i="25"/>
  <c r="O117" i="25"/>
  <c r="K136" i="25"/>
  <c r="AE111" i="25"/>
  <c r="AE136" i="25" s="1"/>
  <c r="AD93" i="25"/>
  <c r="AK43" i="25"/>
  <c r="BD43" i="25"/>
  <c r="AK46" i="25"/>
  <c r="AK45" i="25"/>
  <c r="AK75" i="25"/>
  <c r="AK79" i="25" s="1"/>
  <c r="AK108" i="25" s="1"/>
  <c r="AP75" i="25"/>
  <c r="W133" i="25"/>
  <c r="W137" i="25" s="1"/>
  <c r="Q111" i="25"/>
  <c r="Q133" i="25" s="1"/>
  <c r="W102" i="25"/>
  <c r="W126" i="25" s="1"/>
  <c r="BH9" i="25" s="1"/>
  <c r="AD23" i="25"/>
  <c r="W135" i="25"/>
  <c r="F137" i="25"/>
  <c r="W120" i="25"/>
  <c r="AC111" i="25"/>
  <c r="AA111" i="25"/>
  <c r="AB99" i="25"/>
  <c r="AB93" i="25"/>
  <c r="AB110" i="25" s="1"/>
  <c r="AB111" i="25" s="1"/>
  <c r="AI90" i="25"/>
  <c r="AD52" i="25"/>
  <c r="AD53" i="25"/>
  <c r="AD54" i="25"/>
  <c r="BC51" i="25"/>
  <c r="AD51" i="25"/>
  <c r="O99" i="25"/>
  <c r="K127" i="25"/>
  <c r="P95" i="25"/>
  <c r="V99" i="25"/>
  <c r="V115" i="25"/>
  <c r="L126" i="25"/>
  <c r="L128" i="25" s="1"/>
  <c r="J120" i="25"/>
  <c r="J143" i="25" s="1"/>
  <c r="L132" i="25"/>
  <c r="L136" i="25"/>
  <c r="U95" i="25"/>
  <c r="U108" i="25"/>
  <c r="V118" i="25"/>
  <c r="AK44" i="25"/>
  <c r="BC31" i="25"/>
  <c r="AD31" i="25"/>
  <c r="AD32" i="25"/>
  <c r="AD33" i="25"/>
  <c r="AD34" i="25"/>
  <c r="AK70" i="25"/>
  <c r="AK107" i="25" s="1"/>
  <c r="AK49" i="25"/>
  <c r="AD44" i="25"/>
  <c r="AD27" i="25"/>
  <c r="BE19" i="25"/>
  <c r="BC15" i="25"/>
  <c r="AD15" i="25"/>
  <c r="O98" i="25"/>
  <c r="BK11" i="25"/>
  <c r="I99" i="25"/>
  <c r="V98" i="25"/>
  <c r="AM55" i="25"/>
  <c r="AN57" i="25"/>
  <c r="AN106" i="25"/>
  <c r="AD45" i="25"/>
  <c r="AK28" i="25"/>
  <c r="AK29" i="25"/>
  <c r="AK30" i="25"/>
  <c r="V101" i="25"/>
  <c r="Z7" i="25"/>
  <c r="AD86" i="25"/>
  <c r="AD109" i="25" s="1"/>
  <c r="AD66" i="25"/>
  <c r="AD70" i="25" s="1"/>
  <c r="AD107" i="25" s="1"/>
  <c r="AC98" i="25"/>
  <c r="AD46" i="25"/>
  <c r="I100" i="25"/>
  <c r="AD20" i="25"/>
  <c r="AD40" i="25"/>
  <c r="BI11" i="25"/>
  <c r="AD12" i="25"/>
  <c r="BC7" i="25"/>
  <c r="AD8" i="25"/>
  <c r="BB55" i="25"/>
  <c r="BB56" i="25" s="1"/>
  <c r="AD7" i="25"/>
  <c r="AD10" i="25"/>
  <c r="J95" i="25"/>
  <c r="J103" i="25" s="1"/>
  <c r="W95" i="25"/>
  <c r="W112" i="25" s="1"/>
  <c r="G95" i="25"/>
  <c r="AK50" i="25"/>
  <c r="AD47" i="25"/>
  <c r="AD48" i="25"/>
  <c r="AD49" i="25"/>
  <c r="AD50" i="25"/>
  <c r="AD36" i="25"/>
  <c r="AD37" i="25"/>
  <c r="AD38" i="25"/>
  <c r="BC35" i="25"/>
  <c r="AD35" i="25"/>
  <c r="AD28" i="25"/>
  <c r="AD16" i="25"/>
  <c r="AK13" i="25"/>
  <c r="V100" i="25"/>
  <c r="T106" i="25"/>
  <c r="AW89" i="25"/>
  <c r="AR41" i="25"/>
  <c r="R100" i="25"/>
  <c r="Z27" i="25"/>
  <c r="S19" i="25"/>
  <c r="AK14" i="25"/>
  <c r="S11" i="25"/>
  <c r="R7" i="25"/>
  <c r="V55" i="25"/>
  <c r="V106" i="25" s="1"/>
  <c r="S43" i="25"/>
  <c r="AG27" i="25" l="1"/>
  <c r="Z15" i="25"/>
  <c r="AG15" i="25" s="1"/>
  <c r="AR20" i="25"/>
  <c r="AR21" i="25"/>
  <c r="AR19" i="25"/>
  <c r="AN27" i="25"/>
  <c r="AU27" i="25" s="1"/>
  <c r="BE47" i="25"/>
  <c r="AY48" i="25" s="1"/>
  <c r="AR47" i="25"/>
  <c r="AG35" i="25"/>
  <c r="Z31" i="25"/>
  <c r="AG31" i="25" s="1"/>
  <c r="AG51" i="25"/>
  <c r="AR50" i="25"/>
  <c r="AR49" i="25"/>
  <c r="AD116" i="25"/>
  <c r="AG47" i="25"/>
  <c r="AN47" i="25" s="1"/>
  <c r="AU47" i="25" s="1"/>
  <c r="R51" i="25"/>
  <c r="AK39" i="25"/>
  <c r="AK41" i="25"/>
  <c r="R35" i="25"/>
  <c r="AG23" i="25"/>
  <c r="AN23" i="25" s="1"/>
  <c r="AU23" i="25" s="1"/>
  <c r="AD100" i="25"/>
  <c r="S117" i="25"/>
  <c r="AK11" i="25"/>
  <c r="AK12" i="25"/>
  <c r="BD11" i="25"/>
  <c r="AR40" i="25"/>
  <c r="AR42" i="25"/>
  <c r="AR39" i="25"/>
  <c r="BE39" i="25"/>
  <c r="I18" i="2"/>
  <c r="H18" i="2"/>
  <c r="S135" i="25"/>
  <c r="S134" i="25"/>
  <c r="S132" i="25"/>
  <c r="R39" i="25"/>
  <c r="R117" i="25" s="1"/>
  <c r="Z39" i="25"/>
  <c r="AG39" i="25" s="1"/>
  <c r="AN39" i="25" s="1"/>
  <c r="AU39" i="25" s="1"/>
  <c r="R47" i="25"/>
  <c r="P111" i="25"/>
  <c r="P132" i="25"/>
  <c r="AV133" i="25"/>
  <c r="AD101" i="25"/>
  <c r="AK90" i="25"/>
  <c r="AK93" i="25" s="1"/>
  <c r="AK110" i="25" s="1"/>
  <c r="AI99" i="25"/>
  <c r="AP90" i="25"/>
  <c r="AI93" i="25"/>
  <c r="AI110" i="25" s="1"/>
  <c r="AI111" i="25" s="1"/>
  <c r="AR75" i="25"/>
  <c r="AR79" i="25" s="1"/>
  <c r="AR108" i="25" s="1"/>
  <c r="AW75" i="25"/>
  <c r="AD110" i="25"/>
  <c r="AF106" i="25"/>
  <c r="AF56" i="25"/>
  <c r="AD118" i="25"/>
  <c r="L137" i="25"/>
  <c r="AN35" i="25"/>
  <c r="AU35" i="25" s="1"/>
  <c r="AR92" i="25"/>
  <c r="AP101" i="25"/>
  <c r="AW92" i="25"/>
  <c r="AU137" i="25"/>
  <c r="Q141" i="25"/>
  <c r="Q143" i="25"/>
  <c r="K137" i="25"/>
  <c r="Z145" i="25"/>
  <c r="P103" i="25"/>
  <c r="P124" i="25"/>
  <c r="P126" i="25"/>
  <c r="P127" i="25"/>
  <c r="AG7" i="25"/>
  <c r="AK52" i="25"/>
  <c r="AK53" i="25"/>
  <c r="AK54" i="25"/>
  <c r="BD51" i="25"/>
  <c r="AK51" i="25"/>
  <c r="Q136" i="25"/>
  <c r="Q134" i="25"/>
  <c r="Q132" i="25"/>
  <c r="AY77" i="25"/>
  <c r="AW100" i="25"/>
  <c r="E137" i="25"/>
  <c r="F143" i="25"/>
  <c r="F142" i="25"/>
  <c r="F144" i="25"/>
  <c r="F140" i="25"/>
  <c r="Q135" i="25"/>
  <c r="Z19" i="25"/>
  <c r="AG19" i="25" s="1"/>
  <c r="AN19" i="25" s="1"/>
  <c r="AU19" i="25" s="1"/>
  <c r="S116" i="25"/>
  <c r="R19" i="25"/>
  <c r="R116" i="25" s="1"/>
  <c r="AY89" i="25"/>
  <c r="AN111" i="25"/>
  <c r="AN132" i="25" s="1"/>
  <c r="AK16" i="25"/>
  <c r="AK17" i="25"/>
  <c r="AK18" i="25"/>
  <c r="BD15" i="25"/>
  <c r="AK15" i="25"/>
  <c r="W140" i="25"/>
  <c r="W142" i="25"/>
  <c r="W121" i="25"/>
  <c r="W141" i="25"/>
  <c r="W144" i="25"/>
  <c r="AV125" i="25"/>
  <c r="AV124" i="25"/>
  <c r="AK36" i="25"/>
  <c r="AK37" i="25"/>
  <c r="AK38" i="25"/>
  <c r="BD35" i="25"/>
  <c r="AK35" i="25"/>
  <c r="AW91" i="25"/>
  <c r="AY91" i="25" s="1"/>
  <c r="AR91" i="25"/>
  <c r="W143" i="25"/>
  <c r="Y106" i="25"/>
  <c r="BE23" i="25"/>
  <c r="AR23" i="25"/>
  <c r="AR26" i="25"/>
  <c r="AR25" i="25"/>
  <c r="AR24" i="25"/>
  <c r="AL133" i="25"/>
  <c r="AL135" i="25"/>
  <c r="AL132" i="25"/>
  <c r="AL134" i="25"/>
  <c r="AD55" i="25"/>
  <c r="AD98" i="25"/>
  <c r="AD115" i="25"/>
  <c r="AM56" i="25"/>
  <c r="AT56" i="25"/>
  <c r="AM106" i="25"/>
  <c r="AY22" i="25"/>
  <c r="AY21" i="25"/>
  <c r="AY20" i="25"/>
  <c r="AY19" i="25"/>
  <c r="AS132" i="25"/>
  <c r="AS134" i="25"/>
  <c r="AS136" i="25"/>
  <c r="AS135" i="25"/>
  <c r="AS133" i="25"/>
  <c r="X111" i="25"/>
  <c r="R43" i="25"/>
  <c r="S118" i="25"/>
  <c r="Z43" i="25"/>
  <c r="AG43" i="25" s="1"/>
  <c r="AN43" i="25" s="1"/>
  <c r="AU43" i="25" s="1"/>
  <c r="AD99" i="25"/>
  <c r="J121" i="25"/>
  <c r="J144" i="25"/>
  <c r="J141" i="25"/>
  <c r="J140" i="25"/>
  <c r="AE135" i="25"/>
  <c r="AE132" i="25"/>
  <c r="AE134" i="25"/>
  <c r="AE133" i="25"/>
  <c r="AY28" i="25"/>
  <c r="AY29" i="25"/>
  <c r="AY30" i="25"/>
  <c r="AY27" i="25"/>
  <c r="AF145" i="25"/>
  <c r="J112" i="25"/>
  <c r="J134" i="25"/>
  <c r="J136" i="25"/>
  <c r="J132" i="25"/>
  <c r="J137" i="25" s="1"/>
  <c r="J135" i="25"/>
  <c r="Q140" i="25"/>
  <c r="Q145" i="25" s="1"/>
  <c r="Q144" i="25"/>
  <c r="AR43" i="25"/>
  <c r="AR44" i="25"/>
  <c r="AR45" i="25"/>
  <c r="AR46" i="25"/>
  <c r="BE43" i="25"/>
  <c r="AV126" i="25"/>
  <c r="AV136" i="25"/>
  <c r="AV132" i="25"/>
  <c r="AV135" i="25"/>
  <c r="AD117" i="25"/>
  <c r="AN51" i="25"/>
  <c r="AU51" i="25" s="1"/>
  <c r="AK116" i="25"/>
  <c r="AY76" i="25"/>
  <c r="BD31" i="25"/>
  <c r="AK32" i="25"/>
  <c r="AK34" i="25"/>
  <c r="AK33" i="25"/>
  <c r="AK31" i="25"/>
  <c r="S133" i="25"/>
  <c r="S136" i="25"/>
  <c r="AN15" i="25"/>
  <c r="AU15" i="25" s="1"/>
  <c r="BD7" i="25"/>
  <c r="AK8" i="25"/>
  <c r="BC55" i="25"/>
  <c r="BC56" i="25" s="1"/>
  <c r="AK7" i="25"/>
  <c r="AK9" i="25"/>
  <c r="AK10" i="25"/>
  <c r="AN31" i="25"/>
  <c r="AU31" i="25" s="1"/>
  <c r="Z11" i="25"/>
  <c r="AG11" i="25" s="1"/>
  <c r="AN11" i="25" s="1"/>
  <c r="AU11" i="25" s="1"/>
  <c r="S115" i="25"/>
  <c r="S98" i="25"/>
  <c r="R11" i="25"/>
  <c r="W103" i="25"/>
  <c r="W124" i="25"/>
  <c r="W125" i="25"/>
  <c r="BH8" i="25" s="1"/>
  <c r="W127" i="25"/>
  <c r="BH10" i="25" s="1"/>
  <c r="AP98" i="25"/>
  <c r="E127" i="25"/>
  <c r="E124" i="25"/>
  <c r="E125" i="25"/>
  <c r="K144" i="25"/>
  <c r="K140" i="25"/>
  <c r="K141" i="25"/>
  <c r="Z136" i="25"/>
  <c r="Z133" i="25"/>
  <c r="Z135" i="25"/>
  <c r="J133" i="25"/>
  <c r="AG111" i="25"/>
  <c r="AG132" i="25" s="1"/>
  <c r="F141" i="25"/>
  <c r="Z134" i="25"/>
  <c r="AU145" i="25"/>
  <c r="AY47" i="25" l="1"/>
  <c r="AY50" i="25"/>
  <c r="AK99" i="25"/>
  <c r="AY49" i="25"/>
  <c r="AK118" i="25"/>
  <c r="R98" i="25"/>
  <c r="R102" i="25" s="1"/>
  <c r="R115" i="25"/>
  <c r="AR116" i="25"/>
  <c r="BE11" i="25"/>
  <c r="AR11" i="25"/>
  <c r="AR14" i="25"/>
  <c r="AR12" i="25"/>
  <c r="AR13" i="25"/>
  <c r="Z137" i="25"/>
  <c r="S137" i="25"/>
  <c r="AY39" i="25"/>
  <c r="AY42" i="25"/>
  <c r="AY41" i="25"/>
  <c r="AY40" i="25"/>
  <c r="R55" i="25"/>
  <c r="R106" i="25" s="1"/>
  <c r="R118" i="25"/>
  <c r="AK117" i="25"/>
  <c r="J145" i="25"/>
  <c r="Y111" i="25"/>
  <c r="Z98" i="25"/>
  <c r="K145" i="25"/>
  <c r="S120" i="25"/>
  <c r="AR7" i="25"/>
  <c r="BE7" i="25"/>
  <c r="AR8" i="25"/>
  <c r="BD55" i="25"/>
  <c r="BD56" i="25" s="1"/>
  <c r="AR9" i="25"/>
  <c r="AR10" i="25"/>
  <c r="AY43" i="25"/>
  <c r="AY46" i="25"/>
  <c r="AY44" i="25"/>
  <c r="AY45" i="25"/>
  <c r="AS137" i="25"/>
  <c r="W145" i="25"/>
  <c r="AF111" i="25"/>
  <c r="S102" i="25"/>
  <c r="BH7" i="25"/>
  <c r="BH11" i="25" s="1"/>
  <c r="W128" i="25"/>
  <c r="X135" i="25"/>
  <c r="X134" i="25"/>
  <c r="X136" i="25"/>
  <c r="X133" i="25"/>
  <c r="AR90" i="25"/>
  <c r="AR93" i="25" s="1"/>
  <c r="AR110" i="25" s="1"/>
  <c r="AW90" i="25"/>
  <c r="AP99" i="25"/>
  <c r="AP93" i="25"/>
  <c r="AP110" i="25" s="1"/>
  <c r="AP111" i="25" s="1"/>
  <c r="R111" i="25"/>
  <c r="R132" i="25" s="1"/>
  <c r="AD120" i="25"/>
  <c r="AD140" i="25" s="1"/>
  <c r="AV128" i="25"/>
  <c r="AR15" i="25"/>
  <c r="AR16" i="25"/>
  <c r="AR17" i="25"/>
  <c r="AR18" i="25"/>
  <c r="BE15" i="25"/>
  <c r="AK101" i="25"/>
  <c r="AD58" i="25"/>
  <c r="AD106" i="25"/>
  <c r="AD95" i="25"/>
  <c r="AD60" i="25"/>
  <c r="P112" i="25"/>
  <c r="P136" i="25"/>
  <c r="P134" i="25"/>
  <c r="P133" i="25"/>
  <c r="P137" i="25" s="1"/>
  <c r="P135" i="25"/>
  <c r="AG136" i="25"/>
  <c r="AG134" i="25"/>
  <c r="AG135" i="25"/>
  <c r="AG133" i="25"/>
  <c r="AR51" i="25"/>
  <c r="AR52" i="25"/>
  <c r="AR53" i="25"/>
  <c r="AR54" i="25"/>
  <c r="BE51" i="25"/>
  <c r="AY92" i="25"/>
  <c r="AW101" i="25"/>
  <c r="E128" i="25"/>
  <c r="AD102" i="25"/>
  <c r="AD126" i="25" s="1"/>
  <c r="P128" i="25"/>
  <c r="AK55" i="25"/>
  <c r="AK115" i="25"/>
  <c r="AK98" i="25"/>
  <c r="AV137" i="25"/>
  <c r="AY23" i="25"/>
  <c r="AY24" i="25"/>
  <c r="AY25" i="25"/>
  <c r="AY26" i="25"/>
  <c r="X132" i="25"/>
  <c r="AR32" i="25"/>
  <c r="AR33" i="25"/>
  <c r="AR34" i="25"/>
  <c r="AR31" i="25"/>
  <c r="BE31" i="25"/>
  <c r="AK100" i="25"/>
  <c r="AE137" i="25"/>
  <c r="Z58" i="25"/>
  <c r="AM111" i="25"/>
  <c r="AL137" i="25"/>
  <c r="AR35" i="25"/>
  <c r="AR36" i="25"/>
  <c r="AR37" i="25"/>
  <c r="AR38" i="25"/>
  <c r="BE35" i="25"/>
  <c r="AN135" i="25"/>
  <c r="AN133" i="25"/>
  <c r="AN134" i="25"/>
  <c r="AN136" i="25"/>
  <c r="F145" i="25"/>
  <c r="Q137" i="25"/>
  <c r="AN7" i="25"/>
  <c r="AG98" i="25"/>
  <c r="AG58" i="25"/>
  <c r="AW98" i="25"/>
  <c r="AY75" i="25"/>
  <c r="AY79" i="25" s="1"/>
  <c r="AY108" i="25" s="1"/>
  <c r="AR118" i="25" l="1"/>
  <c r="R120" i="25"/>
  <c r="R141" i="25" s="1"/>
  <c r="AD142" i="25"/>
  <c r="Y56" i="25"/>
  <c r="Y51" i="25" s="1"/>
  <c r="X137" i="25"/>
  <c r="AN137" i="25"/>
  <c r="AY116" i="25"/>
  <c r="AG137" i="25"/>
  <c r="AR101" i="25"/>
  <c r="AY11" i="25"/>
  <c r="AY13" i="25"/>
  <c r="AY14" i="25"/>
  <c r="AY12" i="25"/>
  <c r="AD143" i="25"/>
  <c r="AR100" i="25"/>
  <c r="S144" i="25"/>
  <c r="S142" i="25"/>
  <c r="Y35" i="25"/>
  <c r="Y19" i="25"/>
  <c r="Y47" i="25"/>
  <c r="Y15" i="25"/>
  <c r="Y27" i="25"/>
  <c r="Y31" i="25"/>
  <c r="Y7" i="25"/>
  <c r="Y23" i="25"/>
  <c r="AD111" i="25"/>
  <c r="AD132" i="25" s="1"/>
  <c r="AY90" i="25"/>
  <c r="AY93" i="25" s="1"/>
  <c r="AY110" i="25" s="1"/>
  <c r="AW99" i="25"/>
  <c r="AW93" i="25"/>
  <c r="AW110" i="25" s="1"/>
  <c r="AW111" i="25" s="1"/>
  <c r="R144" i="25"/>
  <c r="R142" i="25"/>
  <c r="Z102" i="25"/>
  <c r="Z124" i="25" s="1"/>
  <c r="S143" i="25"/>
  <c r="AK120" i="25"/>
  <c r="AK140" i="25" s="1"/>
  <c r="AK60" i="25"/>
  <c r="AK58" i="25"/>
  <c r="AK106" i="25"/>
  <c r="AK95" i="25"/>
  <c r="S141" i="25"/>
  <c r="S127" i="25"/>
  <c r="S126" i="25"/>
  <c r="S125" i="25"/>
  <c r="AM133" i="25"/>
  <c r="AM135" i="25"/>
  <c r="AM134" i="25"/>
  <c r="AM136" i="25"/>
  <c r="AY32" i="25"/>
  <c r="AY33" i="25"/>
  <c r="AY34" i="25"/>
  <c r="AY31" i="25"/>
  <c r="AG102" i="25"/>
  <c r="AG124" i="25" s="1"/>
  <c r="AY35" i="25"/>
  <c r="AY38" i="25"/>
  <c r="AY37" i="25"/>
  <c r="AY36" i="25"/>
  <c r="AM132" i="25"/>
  <c r="AR117" i="25"/>
  <c r="R125" i="25"/>
  <c r="R127" i="25"/>
  <c r="R126" i="25"/>
  <c r="AY51" i="25"/>
  <c r="AY53" i="25"/>
  <c r="AY52" i="25"/>
  <c r="AY54" i="25"/>
  <c r="AR99" i="25"/>
  <c r="AU7" i="25"/>
  <c r="AN98" i="25"/>
  <c r="AN58" i="25"/>
  <c r="R124" i="25"/>
  <c r="AD127" i="25"/>
  <c r="AY16" i="25"/>
  <c r="AY17" i="25"/>
  <c r="AY18" i="25"/>
  <c r="AY15" i="25"/>
  <c r="AY9" i="25"/>
  <c r="AY7" i="25"/>
  <c r="AY8" i="25"/>
  <c r="AY10" i="25"/>
  <c r="BE55" i="25"/>
  <c r="BE56" i="25" s="1"/>
  <c r="Y136" i="25"/>
  <c r="Y134" i="25"/>
  <c r="Y133" i="25"/>
  <c r="Y135" i="25"/>
  <c r="R133" i="25"/>
  <c r="R135" i="25"/>
  <c r="R136" i="25"/>
  <c r="R134" i="25"/>
  <c r="AF134" i="25"/>
  <c r="AF136" i="25"/>
  <c r="AF135" i="25"/>
  <c r="AF133" i="25"/>
  <c r="AR115" i="25"/>
  <c r="AR55" i="25"/>
  <c r="AR98" i="25"/>
  <c r="Y132" i="25"/>
  <c r="AK102" i="25"/>
  <c r="AK126" i="25" s="1"/>
  <c r="AD125" i="25"/>
  <c r="AD144" i="25"/>
  <c r="AD141" i="25"/>
  <c r="AD145" i="25" s="1"/>
  <c r="S124" i="25"/>
  <c r="R143" i="25"/>
  <c r="AD124" i="25"/>
  <c r="AF132" i="25"/>
  <c r="S140" i="25"/>
  <c r="AY100" i="25" l="1"/>
  <c r="R140" i="25"/>
  <c r="Y43" i="25"/>
  <c r="Y11" i="25"/>
  <c r="X11" i="25" s="1"/>
  <c r="Y39" i="25"/>
  <c r="X39" i="25" s="1"/>
  <c r="AK142" i="25"/>
  <c r="AY118" i="25"/>
  <c r="R128" i="25"/>
  <c r="R137" i="25"/>
  <c r="AR120" i="25"/>
  <c r="AR140" i="25" s="1"/>
  <c r="AF7" i="25"/>
  <c r="X7" i="25"/>
  <c r="Y58" i="25"/>
  <c r="AF51" i="25"/>
  <c r="X51" i="25"/>
  <c r="AY98" i="25"/>
  <c r="AY55" i="25"/>
  <c r="AY115" i="25"/>
  <c r="AF11" i="25"/>
  <c r="Z125" i="25"/>
  <c r="Z127" i="25"/>
  <c r="Z126" i="25"/>
  <c r="X31" i="25"/>
  <c r="AF31" i="25"/>
  <c r="AD128" i="25"/>
  <c r="AU58" i="25"/>
  <c r="AU98" i="25"/>
  <c r="AG127" i="25"/>
  <c r="AG126" i="25"/>
  <c r="AG125" i="25"/>
  <c r="AK111" i="25"/>
  <c r="AK132" i="25" s="1"/>
  <c r="AF27" i="25"/>
  <c r="X27" i="25"/>
  <c r="Y137" i="25"/>
  <c r="R145" i="25"/>
  <c r="AF47" i="25"/>
  <c r="X47" i="25"/>
  <c r="AN102" i="25"/>
  <c r="AN124" i="25" s="1"/>
  <c r="AY117" i="25"/>
  <c r="AM137" i="25"/>
  <c r="AR102" i="25"/>
  <c r="AR125" i="25" s="1"/>
  <c r="AY101" i="25"/>
  <c r="AF39" i="25"/>
  <c r="X23" i="25"/>
  <c r="AF23" i="25"/>
  <c r="S145" i="25"/>
  <c r="AF137" i="25"/>
  <c r="X35" i="25"/>
  <c r="AF35" i="25"/>
  <c r="AK103" i="25"/>
  <c r="AK125" i="25"/>
  <c r="AD134" i="25"/>
  <c r="AD133" i="25"/>
  <c r="AD135" i="25"/>
  <c r="AD136" i="25"/>
  <c r="AK124" i="25"/>
  <c r="AR142" i="25"/>
  <c r="X15" i="25"/>
  <c r="AF15" i="25"/>
  <c r="AK127" i="25"/>
  <c r="S128" i="25"/>
  <c r="AR58" i="25"/>
  <c r="AR60" i="25"/>
  <c r="AR106" i="25"/>
  <c r="AR95" i="25"/>
  <c r="AY99" i="25"/>
  <c r="AK144" i="25"/>
  <c r="AK143" i="25"/>
  <c r="AK141" i="25"/>
  <c r="AF43" i="25"/>
  <c r="X43" i="25"/>
  <c r="X19" i="25"/>
  <c r="AF19" i="25"/>
  <c r="AG128" i="25" l="1"/>
  <c r="AD137" i="25"/>
  <c r="Z128" i="25"/>
  <c r="AK145" i="25"/>
  <c r="AR124" i="25"/>
  <c r="X98" i="25"/>
  <c r="X102" i="25" s="1"/>
  <c r="AE7" i="25"/>
  <c r="AM7" i="25"/>
  <c r="AF58" i="25"/>
  <c r="AE15" i="25"/>
  <c r="AM15" i="25"/>
  <c r="AE23" i="25"/>
  <c r="AM23" i="25"/>
  <c r="AM19" i="25"/>
  <c r="AE19" i="25"/>
  <c r="AE27" i="25"/>
  <c r="AM27" i="25"/>
  <c r="AR111" i="25"/>
  <c r="AU102" i="25"/>
  <c r="AU124" i="25" s="1"/>
  <c r="AM11" i="25"/>
  <c r="AE11" i="25"/>
  <c r="AY120" i="25"/>
  <c r="AY140" i="25" s="1"/>
  <c r="AK128" i="25"/>
  <c r="AY60" i="25"/>
  <c r="AY95" i="25"/>
  <c r="AY58" i="25"/>
  <c r="AY106" i="25"/>
  <c r="AY102" i="25"/>
  <c r="AY125" i="25" s="1"/>
  <c r="AM43" i="25"/>
  <c r="AE43" i="25"/>
  <c r="AM51" i="25"/>
  <c r="AE51" i="25"/>
  <c r="AM35" i="25"/>
  <c r="AE35" i="25"/>
  <c r="AM39" i="25"/>
  <c r="AE39" i="25"/>
  <c r="AE31" i="25"/>
  <c r="AM31" i="25"/>
  <c r="AR144" i="25"/>
  <c r="AR141" i="25"/>
  <c r="AR143" i="25"/>
  <c r="AN125" i="25"/>
  <c r="AN127" i="25"/>
  <c r="AN126" i="25"/>
  <c r="AK135" i="25"/>
  <c r="AK134" i="25"/>
  <c r="AK133" i="25"/>
  <c r="AK136" i="25"/>
  <c r="AE47" i="25"/>
  <c r="AM47" i="25"/>
  <c r="AR103" i="25"/>
  <c r="AR127" i="25"/>
  <c r="AR126" i="25"/>
  <c r="AR128" i="25" s="1"/>
  <c r="AN128" i="25" l="1"/>
  <c r="AY127" i="25"/>
  <c r="AR145" i="25"/>
  <c r="AK137" i="25"/>
  <c r="X124" i="25"/>
  <c r="AL39" i="25"/>
  <c r="AT39" i="25"/>
  <c r="AS39" i="25" s="1"/>
  <c r="AL15" i="25"/>
  <c r="AT15" i="25"/>
  <c r="AS15" i="25" s="1"/>
  <c r="AY144" i="25"/>
  <c r="AY141" i="25"/>
  <c r="AY143" i="25"/>
  <c r="AY111" i="25"/>
  <c r="AL31" i="25"/>
  <c r="AT31" i="25"/>
  <c r="AS31" i="25" s="1"/>
  <c r="AY103" i="25"/>
  <c r="AY126" i="25"/>
  <c r="AL35" i="25"/>
  <c r="AT35" i="25"/>
  <c r="AS35" i="25" s="1"/>
  <c r="AL11" i="25"/>
  <c r="AT11" i="25"/>
  <c r="AS11" i="25" s="1"/>
  <c r="AT7" i="25"/>
  <c r="AL7" i="25"/>
  <c r="AM58" i="25"/>
  <c r="AL19" i="25"/>
  <c r="AT19" i="25"/>
  <c r="AS19" i="25" s="1"/>
  <c r="AL51" i="25"/>
  <c r="AT51" i="25"/>
  <c r="AS51" i="25" s="1"/>
  <c r="AL23" i="25"/>
  <c r="AT23" i="25"/>
  <c r="AS23" i="25" s="1"/>
  <c r="X126" i="25"/>
  <c r="X127" i="25"/>
  <c r="X125" i="25"/>
  <c r="AT43" i="25"/>
  <c r="AS43" i="25" s="1"/>
  <c r="AL43" i="25"/>
  <c r="AR135" i="25"/>
  <c r="AR133" i="25"/>
  <c r="AR134" i="25"/>
  <c r="AR136" i="25"/>
  <c r="AL27" i="25"/>
  <c r="AT27" i="25"/>
  <c r="AS27" i="25" s="1"/>
  <c r="AY124" i="25"/>
  <c r="AE98" i="25"/>
  <c r="AU127" i="25"/>
  <c r="AU125" i="25"/>
  <c r="AU126" i="25"/>
  <c r="AY142" i="25"/>
  <c r="AT47" i="25"/>
  <c r="AS47" i="25" s="1"/>
  <c r="AL47" i="25"/>
  <c r="AR132" i="25"/>
  <c r="AU128" i="25" l="1"/>
  <c r="AY145" i="25"/>
  <c r="X128" i="25"/>
  <c r="AL98" i="25"/>
  <c r="AS7" i="25"/>
  <c r="AS98" i="25" s="1"/>
  <c r="AT58" i="25"/>
  <c r="AY135" i="25"/>
  <c r="AY133" i="25"/>
  <c r="AY134" i="25"/>
  <c r="AY136" i="25"/>
  <c r="AE102" i="25"/>
  <c r="AE124" i="25" s="1"/>
  <c r="AR137" i="25"/>
  <c r="AY128" i="25"/>
  <c r="AY132" i="25"/>
  <c r="AY137" i="25" l="1"/>
  <c r="AS102" i="25"/>
  <c r="AE126" i="25"/>
  <c r="AE125" i="25"/>
  <c r="AE127" i="25"/>
  <c r="AL102" i="25"/>
  <c r="AE128" i="25" l="1"/>
  <c r="AL125" i="25"/>
  <c r="AL127" i="25"/>
  <c r="AL126" i="25"/>
  <c r="AS125" i="25"/>
  <c r="AS127" i="25"/>
  <c r="AS126" i="25"/>
  <c r="AS124" i="25"/>
  <c r="AS128" i="25" s="1"/>
  <c r="AL124" i="25"/>
  <c r="AL128" i="25" l="1"/>
  <c r="N11" i="24"/>
  <c r="R11" i="24"/>
  <c r="S11" i="24"/>
  <c r="N12" i="24"/>
  <c r="U12" i="24" s="1"/>
  <c r="Q12" i="24"/>
  <c r="R12" i="24"/>
  <c r="S12" i="24"/>
  <c r="Q13" i="24"/>
  <c r="R13" i="24"/>
  <c r="S13" i="24"/>
  <c r="Q14" i="24"/>
  <c r="R14" i="24"/>
  <c r="S14" i="24"/>
  <c r="M15" i="24"/>
  <c r="T15" i="24" s="1"/>
  <c r="Q15" i="24"/>
  <c r="R15" i="24"/>
  <c r="S15" i="24"/>
  <c r="M16" i="24"/>
  <c r="T16" i="24" s="1"/>
  <c r="Q16" i="24"/>
  <c r="R16" i="24"/>
  <c r="S16" i="24"/>
  <c r="Q17" i="24"/>
  <c r="R17" i="24"/>
  <c r="S17" i="24"/>
  <c r="Q18" i="24"/>
  <c r="R18" i="24"/>
  <c r="S18" i="24"/>
  <c r="M19" i="24"/>
  <c r="Q19" i="24"/>
  <c r="R19" i="24"/>
  <c r="S19" i="24"/>
  <c r="M20" i="24"/>
  <c r="T20" i="24" s="1"/>
  <c r="Q20" i="24"/>
  <c r="R20" i="24"/>
  <c r="S20" i="24"/>
  <c r="Q21" i="24"/>
  <c r="R21" i="24"/>
  <c r="S21" i="24"/>
  <c r="Q22" i="24"/>
  <c r="R22" i="24"/>
  <c r="S22" i="24"/>
  <c r="Q23" i="24"/>
  <c r="R23" i="24"/>
  <c r="S23" i="24"/>
  <c r="M24" i="24"/>
  <c r="T24" i="24" s="1"/>
  <c r="Q24" i="24"/>
  <c r="R24" i="24"/>
  <c r="S24" i="24"/>
  <c r="M25" i="24"/>
  <c r="T25" i="24" s="1"/>
  <c r="Q25" i="24"/>
  <c r="R25" i="24"/>
  <c r="S25" i="24"/>
  <c r="M26" i="24"/>
  <c r="T26" i="24" s="1"/>
  <c r="Q26" i="24"/>
  <c r="R26" i="24"/>
  <c r="S26" i="24"/>
  <c r="M27" i="24"/>
  <c r="T27" i="24" s="1"/>
  <c r="Q27" i="24"/>
  <c r="R27" i="24"/>
  <c r="S27" i="24"/>
  <c r="Q29" i="24"/>
  <c r="R29" i="24"/>
  <c r="S29" i="24"/>
  <c r="M30" i="24"/>
  <c r="Q30" i="24"/>
  <c r="R30" i="24"/>
  <c r="S30" i="24"/>
  <c r="M31" i="24"/>
  <c r="T31" i="24" s="1"/>
  <c r="Q31" i="24"/>
  <c r="R31" i="24"/>
  <c r="S31" i="24"/>
  <c r="M32" i="24"/>
  <c r="T32" i="24" s="1"/>
  <c r="Q32" i="24"/>
  <c r="R32" i="24"/>
  <c r="S32" i="24"/>
  <c r="Q33" i="24"/>
  <c r="R33" i="24"/>
  <c r="S33" i="24"/>
  <c r="Q34" i="24"/>
  <c r="R34" i="24"/>
  <c r="S34" i="24"/>
  <c r="M35" i="24"/>
  <c r="T35" i="24" s="1"/>
  <c r="Q35" i="24"/>
  <c r="R35" i="24"/>
  <c r="S35" i="24"/>
  <c r="M36" i="24"/>
  <c r="T36" i="24" s="1"/>
  <c r="N36" i="24"/>
  <c r="U36" i="24" s="1"/>
  <c r="Q36" i="24"/>
  <c r="R36" i="24"/>
  <c r="S36" i="24"/>
  <c r="Q38" i="24"/>
  <c r="R38" i="24"/>
  <c r="S38" i="24"/>
  <c r="M39" i="24"/>
  <c r="T39" i="24" s="1"/>
  <c r="Q39" i="24"/>
  <c r="R39" i="24"/>
  <c r="S39" i="24"/>
  <c r="M40" i="24"/>
  <c r="T40" i="24" s="1"/>
  <c r="N40" i="24"/>
  <c r="U40" i="24" s="1"/>
  <c r="Q40" i="24"/>
  <c r="R40" i="24"/>
  <c r="S40" i="24"/>
  <c r="M41" i="24"/>
  <c r="T41" i="24" s="1"/>
  <c r="Q41" i="24"/>
  <c r="R41" i="24"/>
  <c r="S41" i="24"/>
  <c r="Q42" i="24"/>
  <c r="R42" i="24"/>
  <c r="S42" i="24"/>
  <c r="O44" i="24"/>
  <c r="V44" i="24" s="1"/>
  <c r="Q44" i="24"/>
  <c r="R44" i="24"/>
  <c r="S44" i="24"/>
  <c r="O45" i="24"/>
  <c r="V45" i="24" s="1"/>
  <c r="Q45" i="24"/>
  <c r="R45" i="24"/>
  <c r="S45" i="24"/>
  <c r="O46" i="24"/>
  <c r="V46" i="24" s="1"/>
  <c r="Q46" i="24"/>
  <c r="R46" i="24"/>
  <c r="S46" i="24"/>
  <c r="O47" i="24"/>
  <c r="V47" i="24" s="1"/>
  <c r="Q47" i="24"/>
  <c r="R47" i="24"/>
  <c r="S47" i="24"/>
  <c r="C49" i="24"/>
  <c r="D49" i="24"/>
  <c r="F49" i="24"/>
  <c r="H49" i="24"/>
  <c r="I49" i="24"/>
  <c r="N30" i="24" l="1"/>
  <c r="U30" i="24" s="1"/>
  <c r="T30" i="24"/>
  <c r="O11" i="24"/>
  <c r="V11" i="24" s="1"/>
  <c r="U11" i="24"/>
  <c r="P46" i="24"/>
  <c r="W46" i="24" s="1"/>
  <c r="N41" i="24"/>
  <c r="U41" i="24" s="1"/>
  <c r="P47" i="24"/>
  <c r="W47" i="24" s="1"/>
  <c r="N24" i="24"/>
  <c r="U24" i="24" s="1"/>
  <c r="N16" i="24"/>
  <c r="U16" i="24" s="1"/>
  <c r="O12" i="24"/>
  <c r="V12" i="24" s="1"/>
  <c r="N31" i="24"/>
  <c r="U31" i="24" s="1"/>
  <c r="N20" i="24"/>
  <c r="U20" i="24" s="1"/>
  <c r="N27" i="24"/>
  <c r="U27" i="24" s="1"/>
  <c r="N32" i="24"/>
  <c r="U32" i="24" s="1"/>
  <c r="S49" i="24"/>
  <c r="S51" i="24" s="1"/>
  <c r="S54" i="24" s="1"/>
  <c r="P44" i="24"/>
  <c r="W44" i="24" s="1"/>
  <c r="N35" i="24"/>
  <c r="U35" i="24" s="1"/>
  <c r="R49" i="24"/>
  <c r="R51" i="24" s="1"/>
  <c r="R54" i="24" s="1"/>
  <c r="N39" i="24"/>
  <c r="U39" i="24" s="1"/>
  <c r="Q49" i="24"/>
  <c r="Q51" i="24" s="1"/>
  <c r="Q54" i="24" s="1"/>
  <c r="P45" i="24"/>
  <c r="W45" i="24" s="1"/>
  <c r="O36" i="24"/>
  <c r="V36" i="24" s="1"/>
  <c r="N15" i="24"/>
  <c r="U15" i="24" s="1"/>
  <c r="O41" i="24"/>
  <c r="V41" i="24" s="1"/>
  <c r="O30" i="24"/>
  <c r="V30" i="24" s="1"/>
  <c r="T49" i="24"/>
  <c r="O40" i="24"/>
  <c r="V40" i="24" s="1"/>
  <c r="N19" i="24"/>
  <c r="U19" i="24" s="1"/>
  <c r="O16" i="24"/>
  <c r="V16" i="24" s="1"/>
  <c r="P11" i="24" l="1"/>
  <c r="W11" i="24" s="1"/>
  <c r="O35" i="24"/>
  <c r="V35" i="24" s="1"/>
  <c r="P12" i="24"/>
  <c r="W12" i="24" s="1"/>
  <c r="O24" i="24"/>
  <c r="V24" i="24" s="1"/>
  <c r="O31" i="24"/>
  <c r="O20" i="24"/>
  <c r="V20" i="24" s="1"/>
  <c r="O32" i="24"/>
  <c r="V32" i="24" s="1"/>
  <c r="O27" i="24"/>
  <c r="V27" i="24" s="1"/>
  <c r="O39" i="24"/>
  <c r="V39" i="24" s="1"/>
  <c r="O15" i="24"/>
  <c r="V15" i="24" s="1"/>
  <c r="P41" i="24"/>
  <c r="W41" i="24" s="1"/>
  <c r="P36" i="24"/>
  <c r="W36" i="24" s="1"/>
  <c r="T50" i="24"/>
  <c r="T51" i="24" s="1"/>
  <c r="F15" i="2" s="1"/>
  <c r="O19" i="24"/>
  <c r="V19" i="24" s="1"/>
  <c r="P40" i="24"/>
  <c r="W40" i="24" s="1"/>
  <c r="P16" i="24"/>
  <c r="W16" i="24" s="1"/>
  <c r="P30" i="24"/>
  <c r="W30" i="24" s="1"/>
  <c r="P35" i="24" l="1"/>
  <c r="W35" i="24" s="1"/>
  <c r="P31" i="24"/>
  <c r="W31" i="24" s="1"/>
  <c r="V31" i="24"/>
  <c r="P24" i="24"/>
  <c r="W24" i="24" s="1"/>
  <c r="P20" i="24"/>
  <c r="W20" i="24" s="1"/>
  <c r="P27" i="24"/>
  <c r="W27" i="24" s="1"/>
  <c r="P32" i="24"/>
  <c r="W32" i="24" s="1"/>
  <c r="U49" i="24"/>
  <c r="U50" i="24" s="1"/>
  <c r="U51" i="24" s="1"/>
  <c r="G15" i="2" s="1"/>
  <c r="P39" i="24"/>
  <c r="W39" i="24" s="1"/>
  <c r="P15" i="24"/>
  <c r="W15" i="24" s="1"/>
  <c r="P19" i="24"/>
  <c r="W19" i="24" s="1"/>
  <c r="V49" i="24" l="1"/>
  <c r="V50" i="24" s="1"/>
  <c r="W49" i="24"/>
  <c r="W50" i="24" s="1"/>
  <c r="W51" i="24" s="1"/>
  <c r="I15" i="2" s="1"/>
  <c r="V51" i="24" l="1"/>
  <c r="H15" i="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5" i="16" l="1"/>
  <c r="AK96" i="18"/>
  <c r="AK95" i="18"/>
  <c r="AK94" i="18"/>
  <c r="AK93" i="18"/>
  <c r="AD94" i="18"/>
  <c r="AD95" i="18"/>
  <c r="AD96" i="18"/>
  <c r="AD93" i="18"/>
  <c r="AY88" i="18"/>
  <c r="AY87" i="18"/>
  <c r="AY86" i="18"/>
  <c r="AR88" i="18"/>
  <c r="AR87" i="18"/>
  <c r="AR86" i="18"/>
  <c r="AK88" i="18"/>
  <c r="AK87" i="18"/>
  <c r="AK86" i="18"/>
  <c r="AR81" i="18"/>
  <c r="AR80" i="18"/>
  <c r="AR79" i="18"/>
  <c r="AK81" i="18"/>
  <c r="AK80" i="18"/>
  <c r="AK79" i="18"/>
  <c r="AY72" i="18"/>
  <c r="AY71" i="18"/>
  <c r="AY70" i="18"/>
  <c r="AW74" i="18"/>
  <c r="AR72" i="18"/>
  <c r="AR71" i="18"/>
  <c r="AR70" i="18"/>
  <c r="AP74" i="18"/>
  <c r="AK72" i="18"/>
  <c r="AK71" i="18"/>
  <c r="AB74" i="18"/>
  <c r="E46" i="2"/>
  <c r="C31" i="19"/>
  <c r="C25" i="19"/>
  <c r="C12" i="19"/>
  <c r="C11" i="19"/>
  <c r="C21" i="19"/>
  <c r="C13" i="19"/>
  <c r="C14" i="19"/>
  <c r="S57" i="16"/>
  <c r="S58" i="16" s="1"/>
  <c r="R57" i="16"/>
  <c r="R58" i="16" s="1"/>
  <c r="Q57" i="16"/>
  <c r="Q58" i="16" s="1"/>
  <c r="E35" i="2"/>
  <c r="V15" i="8"/>
  <c r="X15" i="8" s="1"/>
  <c r="T10" i="8"/>
  <c r="T29" i="8" s="1"/>
  <c r="U29" i="8" s="1"/>
  <c r="X29" i="8" s="1"/>
  <c r="T9" i="8"/>
  <c r="C16" i="19"/>
  <c r="D3" i="22"/>
  <c r="E3" i="22" s="1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T28" i="8" l="1"/>
  <c r="U28" i="8" s="1"/>
  <c r="X28" i="8" s="1"/>
  <c r="Y9" i="8"/>
  <c r="AK90" i="18"/>
  <c r="AY74" i="18"/>
  <c r="I6" i="2" s="1"/>
  <c r="AD97" i="18"/>
  <c r="C5" i="19" s="1"/>
  <c r="AR95" i="18"/>
  <c r="AK83" i="18"/>
  <c r="AY79" i="18"/>
  <c r="AY80" i="18"/>
  <c r="AY81" i="18"/>
  <c r="AR83" i="18"/>
  <c r="AK97" i="18"/>
  <c r="AI97" i="18"/>
  <c r="AB97" i="18"/>
  <c r="AY90" i="18"/>
  <c r="AR90" i="18"/>
  <c r="AR74" i="18"/>
  <c r="H6" i="2" s="1"/>
  <c r="AI74" i="18"/>
  <c r="AK70" i="18"/>
  <c r="AK74" i="18" s="1"/>
  <c r="G6" i="2" s="1"/>
  <c r="C9" i="19"/>
  <c r="AR96" i="18" l="1"/>
  <c r="AY96" i="18"/>
  <c r="AY95" i="18"/>
  <c r="AR93" i="18"/>
  <c r="AP97" i="18"/>
  <c r="AR94" i="18"/>
  <c r="AY94" i="18"/>
  <c r="AY83" i="18"/>
  <c r="C10" i="19"/>
  <c r="I17" i="21"/>
  <c r="I16" i="21"/>
  <c r="I15" i="21"/>
  <c r="C35" i="17"/>
  <c r="C34" i="17"/>
  <c r="C33" i="17"/>
  <c r="C32" i="17"/>
  <c r="C31" i="17"/>
  <c r="C30" i="17"/>
  <c r="C29" i="17"/>
  <c r="C28" i="17"/>
  <c r="C27" i="17"/>
  <c r="C26" i="17"/>
  <c r="C25" i="17"/>
  <c r="C24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85" i="17"/>
  <c r="C96" i="17"/>
  <c r="C95" i="17"/>
  <c r="C94" i="17"/>
  <c r="C93" i="17"/>
  <c r="C92" i="17"/>
  <c r="C91" i="17"/>
  <c r="C90" i="17"/>
  <c r="C89" i="17"/>
  <c r="C88" i="17"/>
  <c r="C87" i="17"/>
  <c r="C86" i="17"/>
  <c r="C64" i="17"/>
  <c r="C75" i="17"/>
  <c r="C74" i="17"/>
  <c r="C73" i="17"/>
  <c r="C72" i="17"/>
  <c r="C71" i="17"/>
  <c r="C70" i="17"/>
  <c r="C69" i="17"/>
  <c r="C68" i="17"/>
  <c r="C67" i="17"/>
  <c r="C66" i="17"/>
  <c r="C65" i="17"/>
  <c r="C44" i="17"/>
  <c r="C55" i="17"/>
  <c r="C54" i="17"/>
  <c r="C53" i="17"/>
  <c r="C52" i="17"/>
  <c r="C51" i="17"/>
  <c r="C50" i="17"/>
  <c r="C49" i="17"/>
  <c r="C48" i="17"/>
  <c r="C47" i="17"/>
  <c r="C46" i="17"/>
  <c r="C45" i="17"/>
  <c r="G10" i="21"/>
  <c r="V13" i="8"/>
  <c r="V12" i="8"/>
  <c r="V11" i="8"/>
  <c r="V10" i="8"/>
  <c r="V20" i="8"/>
  <c r="V19" i="8"/>
  <c r="V18" i="8"/>
  <c r="V16" i="8"/>
  <c r="V21" i="8"/>
  <c r="V17" i="8"/>
  <c r="L9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D26" i="2"/>
  <c r="E26" i="2"/>
  <c r="E7" i="13"/>
  <c r="F7" i="13"/>
  <c r="G7" i="13"/>
  <c r="H7" i="13"/>
  <c r="I7" i="13"/>
  <c r="J7" i="13"/>
  <c r="K7" i="13"/>
  <c r="E8" i="13"/>
  <c r="F8" i="13"/>
  <c r="G8" i="13"/>
  <c r="H8" i="13"/>
  <c r="I8" i="13"/>
  <c r="J8" i="13"/>
  <c r="K8" i="13"/>
  <c r="W55" i="16"/>
  <c r="V55" i="16"/>
  <c r="U55" i="16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5" i="19" s="1"/>
  <c r="A26" i="19" s="1"/>
  <c r="A27" i="19" s="1"/>
  <c r="A28" i="19" s="1"/>
  <c r="A29" i="19" s="1"/>
  <c r="A30" i="19" s="1"/>
  <c r="A31" i="19" s="1"/>
  <c r="A33" i="19" s="1"/>
  <c r="A34" i="19" s="1"/>
  <c r="P45" i="16"/>
  <c r="O47" i="16"/>
  <c r="P47" i="16" s="1"/>
  <c r="O46" i="16"/>
  <c r="P46" i="16" s="1"/>
  <c r="O45" i="16"/>
  <c r="O44" i="16"/>
  <c r="P44" i="16" s="1"/>
  <c r="M15" i="16"/>
  <c r="BA11" i="18"/>
  <c r="BB11" i="18" s="1"/>
  <c r="BA7" i="18"/>
  <c r="BB7" i="18" s="1"/>
  <c r="E14" i="2"/>
  <c r="D14" i="2"/>
  <c r="C14" i="2"/>
  <c r="BA15" i="18"/>
  <c r="BB15" i="18" s="1"/>
  <c r="AR97" i="18" l="1"/>
  <c r="AY93" i="18"/>
  <c r="AY97" i="18" s="1"/>
  <c r="AW97" i="18"/>
  <c r="V14" i="8"/>
  <c r="A35" i="19"/>
  <c r="A36" i="19" s="1"/>
  <c r="G9" i="13"/>
  <c r="E9" i="13"/>
  <c r="F9" i="13"/>
  <c r="I11" i="21"/>
  <c r="AA15" i="8"/>
  <c r="AD7" i="18"/>
  <c r="BC15" i="18"/>
  <c r="BD15" i="18" s="1"/>
  <c r="BE15" i="18" s="1"/>
  <c r="BC11" i="18"/>
  <c r="BD11" i="18" s="1"/>
  <c r="BE11" i="18" s="1"/>
  <c r="BC7" i="18"/>
  <c r="J9" i="21" l="1"/>
  <c r="E16" i="21" s="1"/>
  <c r="J16" i="21" s="1"/>
  <c r="E23" i="21" s="1"/>
  <c r="I23" i="21" s="1"/>
  <c r="J8" i="21"/>
  <c r="E15" i="21" s="1"/>
  <c r="J10" i="21"/>
  <c r="E17" i="21" s="1"/>
  <c r="J17" i="21" s="1"/>
  <c r="E24" i="21" s="1"/>
  <c r="F29" i="4"/>
  <c r="J26" i="4"/>
  <c r="I26" i="4"/>
  <c r="H26" i="4"/>
  <c r="G26" i="4"/>
  <c r="J25" i="4"/>
  <c r="I25" i="4"/>
  <c r="H25" i="4"/>
  <c r="F20" i="4"/>
  <c r="J15" i="21" l="1"/>
  <c r="E22" i="21" s="1"/>
  <c r="I22" i="21" s="1"/>
  <c r="I18" i="21"/>
  <c r="J23" i="21" l="1"/>
  <c r="E30" i="21" s="1"/>
  <c r="I30" i="21" l="1"/>
  <c r="J30" i="21" s="1"/>
  <c r="E38" i="21" s="1"/>
  <c r="I38" i="21" l="1"/>
  <c r="J38" i="21" s="1"/>
  <c r="E46" i="21" s="1"/>
  <c r="I46" i="21" l="1"/>
  <c r="J46" i="21" s="1"/>
  <c r="F26" i="4" l="1"/>
  <c r="F9" i="4"/>
  <c r="F27" i="4" s="1"/>
  <c r="F8" i="4"/>
  <c r="E15" i="13" l="1"/>
  <c r="G5" i="13"/>
  <c r="G4" i="13"/>
  <c r="F5" i="13"/>
  <c r="F4" i="13"/>
  <c r="E5" i="13"/>
  <c r="E4" i="13"/>
  <c r="F16" i="1"/>
  <c r="G16" i="1" s="1"/>
  <c r="H16" i="1" s="1"/>
  <c r="F31" i="1"/>
  <c r="F29" i="1"/>
  <c r="G29" i="4" s="1"/>
  <c r="F30" i="1"/>
  <c r="G30" i="1" s="1"/>
  <c r="H30" i="1" s="1"/>
  <c r="I30" i="1" s="1"/>
  <c r="D46" i="2"/>
  <c r="C46" i="2"/>
  <c r="G37" i="13" l="1"/>
  <c r="E37" i="13"/>
  <c r="F37" i="13"/>
  <c r="F7" i="4"/>
  <c r="I16" i="1"/>
  <c r="I22" i="2" l="1"/>
  <c r="H22" i="2"/>
  <c r="G22" i="2"/>
  <c r="U25" i="16"/>
  <c r="V44" i="16"/>
  <c r="I7" i="18" l="1"/>
  <c r="O7" i="18"/>
  <c r="Q7" i="18"/>
  <c r="V7" i="18"/>
  <c r="I8" i="18"/>
  <c r="O8" i="18"/>
  <c r="R8" i="18"/>
  <c r="V8" i="18"/>
  <c r="BI8" i="18"/>
  <c r="BJ8" i="18"/>
  <c r="BK8" i="18"/>
  <c r="I9" i="18"/>
  <c r="O9" i="18"/>
  <c r="R9" i="18"/>
  <c r="V9" i="18"/>
  <c r="BI9" i="18"/>
  <c r="BJ9" i="18"/>
  <c r="BK9" i="18"/>
  <c r="I10" i="18"/>
  <c r="O10" i="18"/>
  <c r="R10" i="18"/>
  <c r="V10" i="18"/>
  <c r="BI10" i="18"/>
  <c r="BJ10" i="18"/>
  <c r="BK10" i="18"/>
  <c r="I11" i="18"/>
  <c r="O11" i="18"/>
  <c r="V11" i="18"/>
  <c r="I12" i="18"/>
  <c r="O12" i="18"/>
  <c r="R12" i="18"/>
  <c r="V12" i="18"/>
  <c r="O13" i="18"/>
  <c r="R13" i="18"/>
  <c r="V13" i="18"/>
  <c r="I14" i="18"/>
  <c r="O14" i="18"/>
  <c r="R14" i="18"/>
  <c r="V14" i="18"/>
  <c r="I15" i="18"/>
  <c r="O15" i="18"/>
  <c r="V15" i="18"/>
  <c r="I16" i="18"/>
  <c r="O16" i="18"/>
  <c r="R16" i="18"/>
  <c r="V16" i="18"/>
  <c r="I17" i="18"/>
  <c r="O17" i="18"/>
  <c r="R17" i="18"/>
  <c r="V17" i="18"/>
  <c r="I18" i="18"/>
  <c r="O18" i="18"/>
  <c r="R18" i="18"/>
  <c r="V18" i="18"/>
  <c r="I19" i="18"/>
  <c r="O19" i="18"/>
  <c r="V19" i="18"/>
  <c r="BA19" i="18"/>
  <c r="BB19" i="18" s="1"/>
  <c r="BC19" i="18" s="1"/>
  <c r="BD19" i="18" s="1"/>
  <c r="BE19" i="18" s="1"/>
  <c r="I20" i="18"/>
  <c r="O20" i="18"/>
  <c r="R20" i="18"/>
  <c r="V20" i="18"/>
  <c r="I21" i="18"/>
  <c r="O21" i="18"/>
  <c r="R21" i="18"/>
  <c r="V21" i="18"/>
  <c r="I22" i="18"/>
  <c r="O22" i="18"/>
  <c r="R22" i="18"/>
  <c r="V22" i="18"/>
  <c r="I23" i="18"/>
  <c r="O23" i="18"/>
  <c r="V23" i="18"/>
  <c r="BA23" i="18"/>
  <c r="BB23" i="18" s="1"/>
  <c r="BC23" i="18" s="1"/>
  <c r="BD23" i="18" s="1"/>
  <c r="BE23" i="18" s="1"/>
  <c r="I24" i="18"/>
  <c r="O24" i="18"/>
  <c r="R24" i="18"/>
  <c r="V24" i="18"/>
  <c r="I25" i="18"/>
  <c r="O25" i="18"/>
  <c r="R25" i="18"/>
  <c r="V25" i="18"/>
  <c r="I26" i="18"/>
  <c r="O26" i="18"/>
  <c r="R26" i="18"/>
  <c r="V26" i="18"/>
  <c r="I27" i="18"/>
  <c r="O27" i="18"/>
  <c r="V27" i="18"/>
  <c r="BA27" i="18"/>
  <c r="BB27" i="18" s="1"/>
  <c r="BC27" i="18" s="1"/>
  <c r="BD27" i="18" s="1"/>
  <c r="BE27" i="18" s="1"/>
  <c r="I28" i="18"/>
  <c r="O28" i="18"/>
  <c r="R28" i="18"/>
  <c r="V28" i="18"/>
  <c r="I29" i="18"/>
  <c r="O29" i="18"/>
  <c r="R29" i="18"/>
  <c r="V29" i="18"/>
  <c r="I30" i="18"/>
  <c r="O30" i="18"/>
  <c r="R30" i="18"/>
  <c r="V30" i="18"/>
  <c r="I31" i="18"/>
  <c r="O31" i="18"/>
  <c r="V31" i="18"/>
  <c r="BA31" i="18"/>
  <c r="I32" i="18"/>
  <c r="O32" i="18"/>
  <c r="R32" i="18"/>
  <c r="I33" i="18"/>
  <c r="O33" i="18"/>
  <c r="R33" i="18"/>
  <c r="V33" i="18"/>
  <c r="I34" i="18"/>
  <c r="O34" i="18"/>
  <c r="R34" i="18"/>
  <c r="V34" i="18"/>
  <c r="I35" i="18"/>
  <c r="O35" i="18"/>
  <c r="V35" i="18"/>
  <c r="BA35" i="18"/>
  <c r="I36" i="18"/>
  <c r="P36" i="18"/>
  <c r="R36" i="18"/>
  <c r="V36" i="18"/>
  <c r="I37" i="18"/>
  <c r="P37" i="18"/>
  <c r="P105" i="18" s="1"/>
  <c r="R37" i="18"/>
  <c r="V37" i="18"/>
  <c r="I38" i="18"/>
  <c r="O38" i="18"/>
  <c r="R38" i="18"/>
  <c r="V38" i="18"/>
  <c r="I39" i="18"/>
  <c r="O39" i="18"/>
  <c r="V39" i="18"/>
  <c r="BA39" i="18"/>
  <c r="BB39" i="18" s="1"/>
  <c r="BC39" i="18" s="1"/>
  <c r="BD39" i="18" s="1"/>
  <c r="BE39" i="18" s="1"/>
  <c r="AY39" i="18" s="1"/>
  <c r="I40" i="18"/>
  <c r="O40" i="18"/>
  <c r="R40" i="18"/>
  <c r="V40" i="18"/>
  <c r="I41" i="18"/>
  <c r="O41" i="18"/>
  <c r="R41" i="18"/>
  <c r="V41" i="18"/>
  <c r="I42" i="18"/>
  <c r="O42" i="18"/>
  <c r="R42" i="18"/>
  <c r="V42" i="18"/>
  <c r="I43" i="18"/>
  <c r="O43" i="18"/>
  <c r="V43" i="18"/>
  <c r="BA43" i="18"/>
  <c r="BB43" i="18" s="1"/>
  <c r="BC43" i="18" s="1"/>
  <c r="BD43" i="18" s="1"/>
  <c r="BE43" i="18" s="1"/>
  <c r="I44" i="18"/>
  <c r="O44" i="18"/>
  <c r="R44" i="18"/>
  <c r="V44" i="18"/>
  <c r="I45" i="18"/>
  <c r="O45" i="18"/>
  <c r="R45" i="18"/>
  <c r="V45" i="18"/>
  <c r="I46" i="18"/>
  <c r="O46" i="18"/>
  <c r="R46" i="18"/>
  <c r="V46" i="18"/>
  <c r="I47" i="18"/>
  <c r="O47" i="18"/>
  <c r="V47" i="18"/>
  <c r="BA47" i="18"/>
  <c r="BB47" i="18" s="1"/>
  <c r="BC47" i="18" s="1"/>
  <c r="BD47" i="18" s="1"/>
  <c r="BE47" i="18" s="1"/>
  <c r="I48" i="18"/>
  <c r="O48" i="18"/>
  <c r="R48" i="18"/>
  <c r="V48" i="18"/>
  <c r="I49" i="18"/>
  <c r="O49" i="18"/>
  <c r="R49" i="18"/>
  <c r="V49" i="18"/>
  <c r="I50" i="18"/>
  <c r="O50" i="18"/>
  <c r="R50" i="18"/>
  <c r="V50" i="18"/>
  <c r="I51" i="18"/>
  <c r="O51" i="18"/>
  <c r="V51" i="18"/>
  <c r="BA51" i="18"/>
  <c r="BC51" i="18" s="1"/>
  <c r="BD51" i="18" s="1"/>
  <c r="BE51" i="18" s="1"/>
  <c r="I52" i="18"/>
  <c r="O52" i="18"/>
  <c r="R52" i="18"/>
  <c r="V52" i="18"/>
  <c r="I53" i="18"/>
  <c r="O53" i="18"/>
  <c r="R53" i="18"/>
  <c r="V53" i="18"/>
  <c r="I54" i="18"/>
  <c r="O54" i="18"/>
  <c r="R54" i="18"/>
  <c r="V54" i="18"/>
  <c r="E55" i="18"/>
  <c r="G55" i="18"/>
  <c r="H55" i="18"/>
  <c r="J55" i="18"/>
  <c r="K55" i="18"/>
  <c r="M55" i="18"/>
  <c r="N55" i="18"/>
  <c r="N99" i="18" s="1"/>
  <c r="T55" i="18"/>
  <c r="U55" i="18"/>
  <c r="W55" i="18"/>
  <c r="AA55" i="18"/>
  <c r="AB55" i="18"/>
  <c r="AC55" i="18"/>
  <c r="AH55" i="18"/>
  <c r="AI55" i="18"/>
  <c r="AJ55" i="18"/>
  <c r="AO55" i="18"/>
  <c r="AP55" i="18"/>
  <c r="AQ55" i="18"/>
  <c r="AV55" i="18"/>
  <c r="AW55" i="18"/>
  <c r="AX55" i="18"/>
  <c r="I70" i="18"/>
  <c r="O70" i="18"/>
  <c r="P112" i="18"/>
  <c r="W71" i="18"/>
  <c r="W104" i="18" s="1"/>
  <c r="AD71" i="18"/>
  <c r="I72" i="18"/>
  <c r="O72" i="18"/>
  <c r="W72" i="18"/>
  <c r="AD72" i="18"/>
  <c r="I73" i="18"/>
  <c r="O73" i="18"/>
  <c r="V73" i="18"/>
  <c r="G74" i="18"/>
  <c r="G112" i="18" s="1"/>
  <c r="H74" i="18"/>
  <c r="J74" i="18"/>
  <c r="M74" i="18"/>
  <c r="M112" i="18" s="1"/>
  <c r="N74" i="18"/>
  <c r="N112" i="18" s="1"/>
  <c r="T74" i="18"/>
  <c r="T112" i="18" s="1"/>
  <c r="U74" i="18"/>
  <c r="U112" i="18" s="1"/>
  <c r="I79" i="18"/>
  <c r="O79" i="18"/>
  <c r="V79" i="18"/>
  <c r="I80" i="18"/>
  <c r="O80" i="18"/>
  <c r="V80" i="18"/>
  <c r="I81" i="18"/>
  <c r="O81" i="18"/>
  <c r="V81" i="18"/>
  <c r="I82" i="18"/>
  <c r="O82" i="18"/>
  <c r="V82" i="18"/>
  <c r="G83" i="18"/>
  <c r="G113" i="18" s="1"/>
  <c r="H83" i="18"/>
  <c r="H113" i="18" s="1"/>
  <c r="J83" i="18"/>
  <c r="J113" i="18" s="1"/>
  <c r="M83" i="18"/>
  <c r="N83" i="18"/>
  <c r="P83" i="18"/>
  <c r="T83" i="18"/>
  <c r="T113" i="18" s="1"/>
  <c r="U83" i="18"/>
  <c r="U113" i="18" s="1"/>
  <c r="W83" i="18"/>
  <c r="W113" i="18" s="1"/>
  <c r="I86" i="18"/>
  <c r="O86" i="18"/>
  <c r="V86" i="18"/>
  <c r="AD86" i="18"/>
  <c r="I87" i="18"/>
  <c r="O87" i="18"/>
  <c r="V87" i="18"/>
  <c r="AD87" i="18"/>
  <c r="I88" i="18"/>
  <c r="V88" i="18"/>
  <c r="AD88" i="18"/>
  <c r="I89" i="18"/>
  <c r="O89" i="18"/>
  <c r="V89" i="18"/>
  <c r="G90" i="18"/>
  <c r="G114" i="18" s="1"/>
  <c r="H90" i="18"/>
  <c r="J90" i="18"/>
  <c r="J114" i="18" s="1"/>
  <c r="M90" i="18"/>
  <c r="M114" i="18" s="1"/>
  <c r="N90" i="18"/>
  <c r="N114" i="18" s="1"/>
  <c r="P90" i="18"/>
  <c r="P114" i="18" s="1"/>
  <c r="T90" i="18"/>
  <c r="U90" i="18"/>
  <c r="U114" i="18" s="1"/>
  <c r="W90" i="18"/>
  <c r="W114" i="18" s="1"/>
  <c r="I93" i="18"/>
  <c r="O93" i="18"/>
  <c r="V93" i="18"/>
  <c r="I94" i="18"/>
  <c r="O94" i="18"/>
  <c r="V94" i="18"/>
  <c r="I95" i="18"/>
  <c r="O95" i="18"/>
  <c r="V95" i="18"/>
  <c r="I96" i="18"/>
  <c r="O96" i="18"/>
  <c r="V96" i="18"/>
  <c r="G97" i="18"/>
  <c r="H97" i="18"/>
  <c r="J97" i="18"/>
  <c r="M97" i="18"/>
  <c r="M115" i="18" s="1"/>
  <c r="N97" i="18"/>
  <c r="P97" i="18"/>
  <c r="P115" i="18" s="1"/>
  <c r="T97" i="18"/>
  <c r="T115" i="18" s="1"/>
  <c r="U97" i="18"/>
  <c r="W97" i="18"/>
  <c r="F103" i="18"/>
  <c r="G103" i="18"/>
  <c r="H103" i="18"/>
  <c r="K103" i="18"/>
  <c r="L103" i="18"/>
  <c r="M103" i="18"/>
  <c r="P103" i="18"/>
  <c r="Q103" i="18"/>
  <c r="T103" i="18"/>
  <c r="T107" i="18" s="1"/>
  <c r="U103" i="18"/>
  <c r="W103" i="18"/>
  <c r="E104" i="18"/>
  <c r="F104" i="18"/>
  <c r="G104" i="18"/>
  <c r="H104" i="18"/>
  <c r="J104" i="18"/>
  <c r="K104" i="18"/>
  <c r="L104" i="18"/>
  <c r="M104" i="18"/>
  <c r="N104" i="18"/>
  <c r="Q104" i="18"/>
  <c r="S104" i="18"/>
  <c r="T104" i="18"/>
  <c r="U104" i="18"/>
  <c r="E105" i="18"/>
  <c r="F105" i="18"/>
  <c r="G105" i="18"/>
  <c r="H105" i="18"/>
  <c r="J105" i="18"/>
  <c r="K105" i="18"/>
  <c r="L105" i="18"/>
  <c r="M105" i="18"/>
  <c r="N105" i="18"/>
  <c r="Q105" i="18"/>
  <c r="S105" i="18"/>
  <c r="T105" i="18"/>
  <c r="U105" i="18"/>
  <c r="W105" i="18"/>
  <c r="E106" i="18"/>
  <c r="F106" i="18"/>
  <c r="G106" i="18"/>
  <c r="H106" i="18"/>
  <c r="J106" i="18"/>
  <c r="K106" i="18"/>
  <c r="L106" i="18"/>
  <c r="M106" i="18"/>
  <c r="N106" i="18"/>
  <c r="P106" i="18"/>
  <c r="Q106" i="18"/>
  <c r="S106" i="18"/>
  <c r="T106" i="18"/>
  <c r="U106" i="18"/>
  <c r="W106" i="18"/>
  <c r="E111" i="18"/>
  <c r="F111" i="18"/>
  <c r="I111" i="18"/>
  <c r="L111" i="18"/>
  <c r="M111" i="18"/>
  <c r="N111" i="18"/>
  <c r="O111" i="18"/>
  <c r="T111" i="18"/>
  <c r="U111" i="18"/>
  <c r="E112" i="18"/>
  <c r="F112" i="18"/>
  <c r="H112" i="18"/>
  <c r="I112" i="18"/>
  <c r="J112" i="18"/>
  <c r="K112" i="18"/>
  <c r="L112" i="18"/>
  <c r="O112" i="18"/>
  <c r="Q112" i="18"/>
  <c r="R112" i="18"/>
  <c r="S112" i="18"/>
  <c r="V112" i="18"/>
  <c r="X112" i="18"/>
  <c r="Y112" i="18"/>
  <c r="Z112" i="18"/>
  <c r="AE112" i="18"/>
  <c r="AF112" i="18"/>
  <c r="AG112" i="18"/>
  <c r="AL112" i="18"/>
  <c r="AM112" i="18"/>
  <c r="AN112" i="18"/>
  <c r="AS112" i="18"/>
  <c r="AU112" i="18"/>
  <c r="E113" i="18"/>
  <c r="F113" i="18"/>
  <c r="I113" i="18"/>
  <c r="K113" i="18"/>
  <c r="L113" i="18"/>
  <c r="M113" i="18"/>
  <c r="N113" i="18"/>
  <c r="O113" i="18"/>
  <c r="P113" i="18"/>
  <c r="Q113" i="18"/>
  <c r="R113" i="18"/>
  <c r="S113" i="18"/>
  <c r="V113" i="18"/>
  <c r="X113" i="18"/>
  <c r="Y113" i="18"/>
  <c r="Z113" i="18"/>
  <c r="AE113" i="18"/>
  <c r="AF113" i="18"/>
  <c r="AG113" i="18"/>
  <c r="AL113" i="18"/>
  <c r="AM113" i="18"/>
  <c r="AN113" i="18"/>
  <c r="AS113" i="18"/>
  <c r="AU113" i="18"/>
  <c r="AY113" i="18"/>
  <c r="E114" i="18"/>
  <c r="F114" i="18"/>
  <c r="H114" i="18"/>
  <c r="I114" i="18"/>
  <c r="K114" i="18"/>
  <c r="L114" i="18"/>
  <c r="O114" i="18"/>
  <c r="Q114" i="18"/>
  <c r="R114" i="18"/>
  <c r="S114" i="18"/>
  <c r="T114" i="18"/>
  <c r="V114" i="18"/>
  <c r="X114" i="18"/>
  <c r="Y114" i="18"/>
  <c r="Z114" i="18"/>
  <c r="AE114" i="18"/>
  <c r="AF114" i="18"/>
  <c r="AG114" i="18"/>
  <c r="AL114" i="18"/>
  <c r="AM114" i="18"/>
  <c r="AN114" i="18"/>
  <c r="AS114" i="18"/>
  <c r="AU114" i="18"/>
  <c r="E115" i="18"/>
  <c r="F115" i="18"/>
  <c r="G115" i="18"/>
  <c r="H115" i="18"/>
  <c r="I115" i="18"/>
  <c r="J115" i="18"/>
  <c r="K115" i="18"/>
  <c r="L115" i="18"/>
  <c r="N115" i="18"/>
  <c r="O115" i="18"/>
  <c r="Q115" i="18"/>
  <c r="R115" i="18"/>
  <c r="S115" i="18"/>
  <c r="U115" i="18"/>
  <c r="V115" i="18"/>
  <c r="W115" i="18"/>
  <c r="X115" i="18"/>
  <c r="Y115" i="18"/>
  <c r="Z115" i="18"/>
  <c r="AE115" i="18"/>
  <c r="AF115" i="18"/>
  <c r="AG115" i="18"/>
  <c r="AL115" i="18"/>
  <c r="AM115" i="18"/>
  <c r="AN115" i="18"/>
  <c r="AS115" i="18"/>
  <c r="AU115" i="18"/>
  <c r="E120" i="18"/>
  <c r="F120" i="18"/>
  <c r="G120" i="18"/>
  <c r="H120" i="18"/>
  <c r="J120" i="18"/>
  <c r="K120" i="18"/>
  <c r="M120" i="18"/>
  <c r="N120" i="18"/>
  <c r="P120" i="18"/>
  <c r="T120" i="18"/>
  <c r="U120" i="18"/>
  <c r="W120" i="18"/>
  <c r="E121" i="18"/>
  <c r="F121" i="18"/>
  <c r="G121" i="18"/>
  <c r="H121" i="18"/>
  <c r="I121" i="18"/>
  <c r="J121" i="18"/>
  <c r="K121" i="18"/>
  <c r="M121" i="18"/>
  <c r="N121" i="18"/>
  <c r="P121" i="18"/>
  <c r="Q121" i="18"/>
  <c r="T121" i="18"/>
  <c r="U121" i="18"/>
  <c r="W121" i="18"/>
  <c r="E122" i="18"/>
  <c r="F122" i="18"/>
  <c r="G122" i="18"/>
  <c r="H122" i="18"/>
  <c r="J122" i="18"/>
  <c r="K122" i="18"/>
  <c r="M122" i="18"/>
  <c r="N122" i="18"/>
  <c r="Q122" i="18"/>
  <c r="T122" i="18"/>
  <c r="U122" i="18"/>
  <c r="W122" i="18"/>
  <c r="E123" i="18"/>
  <c r="F123" i="18"/>
  <c r="G123" i="18"/>
  <c r="H123" i="18"/>
  <c r="J123" i="18"/>
  <c r="K123" i="18"/>
  <c r="M123" i="18"/>
  <c r="N123" i="18"/>
  <c r="P123" i="18"/>
  <c r="Q123" i="18"/>
  <c r="T123" i="18"/>
  <c r="U123" i="18"/>
  <c r="W123" i="18"/>
  <c r="AA18" i="8"/>
  <c r="AA20" i="8"/>
  <c r="Y15" i="8"/>
  <c r="Y11" i="8"/>
  <c r="Y12" i="8"/>
  <c r="Y13" i="8"/>
  <c r="Y16" i="8"/>
  <c r="Y17" i="8"/>
  <c r="Y18" i="8"/>
  <c r="Y19" i="8"/>
  <c r="Y20" i="8"/>
  <c r="Y21" i="8"/>
  <c r="T14" i="8"/>
  <c r="T33" i="8" s="1"/>
  <c r="U33" i="8" s="1"/>
  <c r="X33" i="8" s="1"/>
  <c r="X41" i="8" s="1"/>
  <c r="N11" i="8"/>
  <c r="N10" i="8"/>
  <c r="M40" i="16"/>
  <c r="N40" i="16" s="1"/>
  <c r="O40" i="16" s="1"/>
  <c r="P40" i="16" s="1"/>
  <c r="M41" i="16"/>
  <c r="N41" i="16"/>
  <c r="O41" i="16" s="1"/>
  <c r="P41" i="16" s="1"/>
  <c r="M39" i="16"/>
  <c r="N39" i="16" s="1"/>
  <c r="O39" i="16" s="1"/>
  <c r="P39" i="16" s="1"/>
  <c r="M36" i="16"/>
  <c r="N36" i="16" s="1"/>
  <c r="O36" i="16" s="1"/>
  <c r="P36" i="16" s="1"/>
  <c r="M35" i="16"/>
  <c r="N35" i="16" s="1"/>
  <c r="O35" i="16" s="1"/>
  <c r="P35" i="16" s="1"/>
  <c r="M31" i="16"/>
  <c r="N31" i="16" s="1"/>
  <c r="O31" i="16" s="1"/>
  <c r="P31" i="16" s="1"/>
  <c r="M32" i="16"/>
  <c r="N32" i="16" s="1"/>
  <c r="O32" i="16" s="1"/>
  <c r="P32" i="16" s="1"/>
  <c r="M30" i="16"/>
  <c r="N30" i="16" s="1"/>
  <c r="O30" i="16" s="1"/>
  <c r="P30" i="16" s="1"/>
  <c r="M27" i="16"/>
  <c r="N27" i="16" s="1"/>
  <c r="O27" i="16" s="1"/>
  <c r="P27" i="16" s="1"/>
  <c r="M26" i="16"/>
  <c r="M25" i="16"/>
  <c r="M24" i="16"/>
  <c r="N24" i="16" s="1"/>
  <c r="O24" i="16" s="1"/>
  <c r="P24" i="16" s="1"/>
  <c r="M20" i="16"/>
  <c r="N20" i="16" s="1"/>
  <c r="O20" i="16" s="1"/>
  <c r="P20" i="16" s="1"/>
  <c r="M19" i="16"/>
  <c r="N19" i="16" s="1"/>
  <c r="O19" i="16" s="1"/>
  <c r="P19" i="16" s="1"/>
  <c r="M16" i="16"/>
  <c r="N16" i="16" s="1"/>
  <c r="O16" i="16" s="1"/>
  <c r="P16" i="16" s="1"/>
  <c r="N15" i="16"/>
  <c r="O15" i="16" s="1"/>
  <c r="P15" i="16" s="1"/>
  <c r="N12" i="16"/>
  <c r="U12" i="16" s="1"/>
  <c r="N11" i="16"/>
  <c r="U11" i="16" s="1"/>
  <c r="D1" i="17"/>
  <c r="D24" i="17"/>
  <c r="E24" i="17"/>
  <c r="F24" i="17"/>
  <c r="H24" i="17"/>
  <c r="I24" i="17"/>
  <c r="J24" i="17"/>
  <c r="D25" i="17"/>
  <c r="E25" i="17"/>
  <c r="F25" i="17"/>
  <c r="H25" i="17"/>
  <c r="I25" i="17"/>
  <c r="J25" i="17"/>
  <c r="D26" i="17"/>
  <c r="E26" i="17"/>
  <c r="F26" i="17"/>
  <c r="H26" i="17"/>
  <c r="I26" i="17"/>
  <c r="J26" i="17"/>
  <c r="D27" i="17"/>
  <c r="E27" i="17"/>
  <c r="F27" i="17"/>
  <c r="H27" i="17"/>
  <c r="I27" i="17"/>
  <c r="J27" i="17"/>
  <c r="D28" i="17"/>
  <c r="E28" i="17"/>
  <c r="F28" i="17"/>
  <c r="H28" i="17"/>
  <c r="I28" i="17"/>
  <c r="J28" i="17"/>
  <c r="D29" i="17"/>
  <c r="E29" i="17"/>
  <c r="F29" i="17"/>
  <c r="H29" i="17"/>
  <c r="I29" i="17"/>
  <c r="J29" i="17"/>
  <c r="D30" i="17"/>
  <c r="E30" i="17"/>
  <c r="F30" i="17"/>
  <c r="H30" i="17"/>
  <c r="I30" i="17"/>
  <c r="J30" i="17"/>
  <c r="D31" i="17"/>
  <c r="E31" i="17"/>
  <c r="F31" i="17"/>
  <c r="H31" i="17"/>
  <c r="I31" i="17"/>
  <c r="J31" i="17"/>
  <c r="D32" i="17"/>
  <c r="E32" i="17"/>
  <c r="F32" i="17"/>
  <c r="H32" i="17"/>
  <c r="I32" i="17"/>
  <c r="J32" i="17"/>
  <c r="D33" i="17"/>
  <c r="E33" i="17"/>
  <c r="F33" i="17"/>
  <c r="H33" i="17"/>
  <c r="I33" i="17"/>
  <c r="J33" i="17"/>
  <c r="D34" i="17"/>
  <c r="E34" i="17"/>
  <c r="F34" i="17"/>
  <c r="H34" i="17"/>
  <c r="I34" i="17"/>
  <c r="J34" i="17"/>
  <c r="D35" i="17"/>
  <c r="E35" i="17"/>
  <c r="F35" i="17"/>
  <c r="H35" i="17"/>
  <c r="I35" i="17"/>
  <c r="J35" i="17"/>
  <c r="D38" i="17"/>
  <c r="G38" i="17" s="1"/>
  <c r="E38" i="17"/>
  <c r="F38" i="17"/>
  <c r="H38" i="17"/>
  <c r="I38" i="17"/>
  <c r="J38" i="17"/>
  <c r="E49" i="17"/>
  <c r="E51" i="17"/>
  <c r="E54" i="17"/>
  <c r="F57" i="17"/>
  <c r="E64" i="17"/>
  <c r="E68" i="17"/>
  <c r="E69" i="17"/>
  <c r="E71" i="17"/>
  <c r="E72" i="17"/>
  <c r="E74" i="17"/>
  <c r="F78" i="17"/>
  <c r="E90" i="17"/>
  <c r="E92" i="17"/>
  <c r="E93" i="17"/>
  <c r="E95" i="17"/>
  <c r="F98" i="17"/>
  <c r="E109" i="17"/>
  <c r="E111" i="17"/>
  <c r="E114" i="17"/>
  <c r="F117" i="17"/>
  <c r="U99" i="18" l="1"/>
  <c r="W111" i="18"/>
  <c r="F43" i="22"/>
  <c r="G99" i="18"/>
  <c r="T99" i="18"/>
  <c r="G111" i="18"/>
  <c r="M99" i="18"/>
  <c r="Q55" i="18"/>
  <c r="Q120" i="18"/>
  <c r="H111" i="18"/>
  <c r="H99" i="18"/>
  <c r="Q111" i="18"/>
  <c r="P122" i="18"/>
  <c r="F44" i="22"/>
  <c r="C32" i="9"/>
  <c r="C4" i="9"/>
  <c r="K111" i="18"/>
  <c r="K116" i="18" s="1"/>
  <c r="K138" i="18" s="1"/>
  <c r="E45" i="22"/>
  <c r="E48" i="22" s="1"/>
  <c r="I122" i="18"/>
  <c r="J64" i="18"/>
  <c r="BB35" i="18"/>
  <c r="BC35" i="18" s="1"/>
  <c r="F107" i="18"/>
  <c r="F131" i="18" s="1"/>
  <c r="W74" i="18"/>
  <c r="W112" i="18" s="1"/>
  <c r="D45" i="22"/>
  <c r="D48" i="22" s="1"/>
  <c r="Y40" i="8"/>
  <c r="Z40" i="8" s="1"/>
  <c r="AC40" i="8" s="1"/>
  <c r="Y30" i="8"/>
  <c r="Z30" i="8" s="1"/>
  <c r="AC30" i="8" s="1"/>
  <c r="Y32" i="8"/>
  <c r="Z32" i="8" s="1"/>
  <c r="AC32" i="8" s="1"/>
  <c r="Y31" i="8"/>
  <c r="Z31" i="8" s="1"/>
  <c r="AC31" i="8" s="1"/>
  <c r="Y39" i="8"/>
  <c r="Z39" i="8" s="1"/>
  <c r="AC39" i="8" s="1"/>
  <c r="Y34" i="8"/>
  <c r="Z34" i="8" s="1"/>
  <c r="AC34" i="8" s="1"/>
  <c r="Y38" i="8"/>
  <c r="Z38" i="8" s="1"/>
  <c r="AC38" i="8" s="1"/>
  <c r="Y28" i="8"/>
  <c r="Z28" i="8" s="1"/>
  <c r="AC28" i="8" s="1"/>
  <c r="Y37" i="8"/>
  <c r="Z37" i="8" s="1"/>
  <c r="AC37" i="8" s="1"/>
  <c r="Y36" i="8"/>
  <c r="Z36" i="8" s="1"/>
  <c r="AC36" i="8" s="1"/>
  <c r="Y35" i="8"/>
  <c r="Z35" i="8" s="1"/>
  <c r="AC35" i="8" s="1"/>
  <c r="M34" i="17"/>
  <c r="M30" i="17"/>
  <c r="M26" i="17"/>
  <c r="K26" i="17"/>
  <c r="G29" i="17"/>
  <c r="G24" i="17"/>
  <c r="K34" i="17"/>
  <c r="G25" i="17"/>
  <c r="K30" i="17"/>
  <c r="K29" i="17"/>
  <c r="G32" i="17"/>
  <c r="G28" i="17"/>
  <c r="H37" i="17"/>
  <c r="G33" i="17"/>
  <c r="AD19" i="8"/>
  <c r="AD17" i="8"/>
  <c r="AD16" i="8"/>
  <c r="AD9" i="8"/>
  <c r="Y14" i="8"/>
  <c r="X14" i="8"/>
  <c r="AD20" i="8"/>
  <c r="AC20" i="8"/>
  <c r="AF21" i="8"/>
  <c r="AA21" i="8"/>
  <c r="AC21" i="8" s="1"/>
  <c r="AF19" i="8"/>
  <c r="AA19" i="8"/>
  <c r="AF17" i="8"/>
  <c r="AA17" i="8"/>
  <c r="X21" i="8"/>
  <c r="X18" i="8"/>
  <c r="AA16" i="8"/>
  <c r="X16" i="8"/>
  <c r="AD11" i="8"/>
  <c r="X17" i="8"/>
  <c r="AA10" i="8"/>
  <c r="AD13" i="8"/>
  <c r="X20" i="8"/>
  <c r="X19" i="8"/>
  <c r="AD15" i="8"/>
  <c r="AD18" i="8"/>
  <c r="AA14" i="8"/>
  <c r="Y10" i="8"/>
  <c r="AC18" i="8"/>
  <c r="AD12" i="8"/>
  <c r="AF18" i="8"/>
  <c r="AA13" i="8"/>
  <c r="AF20" i="8"/>
  <c r="X10" i="8"/>
  <c r="AD21" i="8"/>
  <c r="AA12" i="8"/>
  <c r="AA11" i="8"/>
  <c r="AD21" i="18"/>
  <c r="AR114" i="18"/>
  <c r="J107" i="18"/>
  <c r="J128" i="18" s="1"/>
  <c r="AK39" i="18"/>
  <c r="AD25" i="18"/>
  <c r="AK113" i="18"/>
  <c r="Q124" i="18"/>
  <c r="Q147" i="18" s="1"/>
  <c r="F116" i="18"/>
  <c r="F138" i="18" s="1"/>
  <c r="AD42" i="18"/>
  <c r="BI11" i="18"/>
  <c r="AK114" i="18"/>
  <c r="V123" i="18"/>
  <c r="AD49" i="18"/>
  <c r="I123" i="18"/>
  <c r="O106" i="18"/>
  <c r="AD23" i="18"/>
  <c r="AK115" i="18"/>
  <c r="AD115" i="18"/>
  <c r="AR113" i="18"/>
  <c r="W64" i="18"/>
  <c r="AD41" i="18"/>
  <c r="AD26" i="18"/>
  <c r="AD83" i="18"/>
  <c r="AD113" i="18" s="1"/>
  <c r="O121" i="18"/>
  <c r="O120" i="18"/>
  <c r="I120" i="18"/>
  <c r="V104" i="18"/>
  <c r="V120" i="18"/>
  <c r="AY114" i="18"/>
  <c r="I103" i="18"/>
  <c r="BK11" i="18"/>
  <c r="BL11" i="18"/>
  <c r="V122" i="18"/>
  <c r="R105" i="18"/>
  <c r="V55" i="18"/>
  <c r="BJ11" i="18"/>
  <c r="BB31" i="18"/>
  <c r="BC31" i="18" s="1"/>
  <c r="BD31" i="18" s="1"/>
  <c r="BE31" i="18" s="1"/>
  <c r="O122" i="18"/>
  <c r="O104" i="18"/>
  <c r="AD22" i="18"/>
  <c r="Q116" i="18"/>
  <c r="Q138" i="18" s="1"/>
  <c r="BA55" i="18"/>
  <c r="V121" i="18"/>
  <c r="W124" i="18"/>
  <c r="W145" i="18" s="1"/>
  <c r="R106" i="18"/>
  <c r="AR115" i="18"/>
  <c r="I106" i="18"/>
  <c r="O123" i="18"/>
  <c r="AD39" i="18"/>
  <c r="P55" i="18"/>
  <c r="AD24" i="18"/>
  <c r="AD19" i="18"/>
  <c r="AD74" i="18"/>
  <c r="F6" i="2" s="1"/>
  <c r="AK40" i="18"/>
  <c r="AK41" i="18"/>
  <c r="AK42" i="18"/>
  <c r="AD13" i="18"/>
  <c r="AD14" i="18"/>
  <c r="AD11" i="18"/>
  <c r="AD12" i="18"/>
  <c r="K25" i="17"/>
  <c r="L25" i="17" s="1"/>
  <c r="D45" i="17" s="1"/>
  <c r="F37" i="17"/>
  <c r="K27" i="17"/>
  <c r="K33" i="17"/>
  <c r="K38" i="17"/>
  <c r="L38" i="17" s="1"/>
  <c r="K35" i="17"/>
  <c r="J37" i="17"/>
  <c r="I37" i="17"/>
  <c r="K31" i="17"/>
  <c r="E124" i="18"/>
  <c r="E116" i="18"/>
  <c r="E136" i="18" s="1"/>
  <c r="L116" i="18"/>
  <c r="L139" i="18" s="1"/>
  <c r="W147" i="18"/>
  <c r="J124" i="18"/>
  <c r="J146" i="18" s="1"/>
  <c r="W107" i="18"/>
  <c r="W131" i="18" s="1"/>
  <c r="BH10" i="18" s="1"/>
  <c r="F124" i="18"/>
  <c r="E107" i="18"/>
  <c r="E130" i="18" s="1"/>
  <c r="K124" i="18"/>
  <c r="L107" i="18"/>
  <c r="L130" i="18" s="1"/>
  <c r="L146" i="18"/>
  <c r="AD43" i="18"/>
  <c r="AD46" i="18"/>
  <c r="AD45" i="18"/>
  <c r="AD44" i="18"/>
  <c r="F139" i="18"/>
  <c r="P124" i="18"/>
  <c r="P146" i="18" s="1"/>
  <c r="AK30" i="18"/>
  <c r="AK29" i="18"/>
  <c r="AK27" i="18"/>
  <c r="AK28" i="18"/>
  <c r="Q107" i="18"/>
  <c r="AY115" i="18"/>
  <c r="AK20" i="18"/>
  <c r="AK21" i="18"/>
  <c r="AK22" i="18"/>
  <c r="AK19" i="18"/>
  <c r="AD15" i="18"/>
  <c r="AD16" i="18"/>
  <c r="AD17" i="18"/>
  <c r="AD18" i="18"/>
  <c r="R104" i="18"/>
  <c r="O103" i="18"/>
  <c r="O105" i="18"/>
  <c r="I104" i="18"/>
  <c r="AD47" i="18"/>
  <c r="I105" i="18"/>
  <c r="BD7" i="18"/>
  <c r="AD8" i="18"/>
  <c r="AD10" i="18"/>
  <c r="AD9" i="18"/>
  <c r="AD50" i="18"/>
  <c r="V103" i="18"/>
  <c r="K107" i="18"/>
  <c r="AY42" i="18"/>
  <c r="AY41" i="18"/>
  <c r="AY40" i="18"/>
  <c r="AK13" i="18"/>
  <c r="AK14" i="18"/>
  <c r="AK11" i="18"/>
  <c r="AK12" i="18"/>
  <c r="P104" i="18"/>
  <c r="P107" i="18" s="1"/>
  <c r="AD90" i="18"/>
  <c r="AD114" i="18" s="1"/>
  <c r="AD52" i="18"/>
  <c r="AD53" i="18"/>
  <c r="AD54" i="18"/>
  <c r="AD48" i="18"/>
  <c r="AR42" i="18"/>
  <c r="AR41" i="18"/>
  <c r="AD28" i="18"/>
  <c r="AD29" i="18"/>
  <c r="AD30" i="18"/>
  <c r="AD27" i="18"/>
  <c r="V106" i="18"/>
  <c r="V105" i="18"/>
  <c r="AD40" i="18"/>
  <c r="AD20" i="18"/>
  <c r="X13" i="8"/>
  <c r="X12" i="8"/>
  <c r="X11" i="8"/>
  <c r="O11" i="16"/>
  <c r="V11" i="16" s="1"/>
  <c r="O12" i="16"/>
  <c r="M35" i="17"/>
  <c r="G35" i="17"/>
  <c r="M31" i="17"/>
  <c r="G31" i="17"/>
  <c r="L31" i="17" s="1"/>
  <c r="D51" i="17" s="1"/>
  <c r="K32" i="17"/>
  <c r="M32" i="17"/>
  <c r="L32" i="17"/>
  <c r="D52" i="17" s="1"/>
  <c r="M33" i="17"/>
  <c r="G30" i="17"/>
  <c r="L30" i="17" s="1"/>
  <c r="D50" i="17" s="1"/>
  <c r="M27" i="17"/>
  <c r="G27" i="17"/>
  <c r="L27" i="17" s="1"/>
  <c r="D47" i="17" s="1"/>
  <c r="G34" i="17"/>
  <c r="M38" i="17"/>
  <c r="M29" i="17"/>
  <c r="G26" i="17"/>
  <c r="E37" i="17"/>
  <c r="F22" i="4" s="1"/>
  <c r="K28" i="17"/>
  <c r="M28" i="17"/>
  <c r="K24" i="17"/>
  <c r="M24" i="17"/>
  <c r="M25" i="17"/>
  <c r="D37" i="17"/>
  <c r="W116" i="18" l="1"/>
  <c r="W137" i="18" s="1"/>
  <c r="W99" i="18"/>
  <c r="F129" i="18"/>
  <c r="J111" i="18"/>
  <c r="D43" i="22"/>
  <c r="D44" i="22" s="1"/>
  <c r="D46" i="22" s="1"/>
  <c r="J99" i="18"/>
  <c r="J108" i="18" s="1"/>
  <c r="F130" i="18"/>
  <c r="V111" i="18"/>
  <c r="F136" i="18"/>
  <c r="W65" i="18"/>
  <c r="AD36" i="18"/>
  <c r="AD35" i="18"/>
  <c r="F137" i="18"/>
  <c r="E139" i="18"/>
  <c r="F140" i="18"/>
  <c r="F47" i="22"/>
  <c r="AD37" i="18"/>
  <c r="Q144" i="18"/>
  <c r="AD38" i="18"/>
  <c r="BD35" i="18"/>
  <c r="BE35" i="18" s="1"/>
  <c r="AK35" i="18"/>
  <c r="AK38" i="18"/>
  <c r="AK36" i="18"/>
  <c r="AK37" i="18"/>
  <c r="Q145" i="18"/>
  <c r="Q140" i="18"/>
  <c r="K136" i="18"/>
  <c r="P64" i="18"/>
  <c r="Q136" i="18"/>
  <c r="J131" i="18"/>
  <c r="Q139" i="18"/>
  <c r="K140" i="18"/>
  <c r="Q146" i="18"/>
  <c r="F128" i="18"/>
  <c r="W117" i="18"/>
  <c r="AD37" i="8"/>
  <c r="AE37" i="8" s="1"/>
  <c r="AH37" i="8" s="1"/>
  <c r="AD36" i="8"/>
  <c r="AE36" i="8" s="1"/>
  <c r="AH36" i="8" s="1"/>
  <c r="AD38" i="8"/>
  <c r="AE38" i="8" s="1"/>
  <c r="AH38" i="8" s="1"/>
  <c r="AH19" i="8"/>
  <c r="AD34" i="8"/>
  <c r="AE34" i="8" s="1"/>
  <c r="AH34" i="8" s="1"/>
  <c r="AD32" i="8"/>
  <c r="AE32" i="8" s="1"/>
  <c r="AH32" i="8" s="1"/>
  <c r="AD39" i="8"/>
  <c r="AE39" i="8" s="1"/>
  <c r="AH39" i="8" s="1"/>
  <c r="AD35" i="8"/>
  <c r="AE35" i="8" s="1"/>
  <c r="AH35" i="8" s="1"/>
  <c r="AI17" i="8"/>
  <c r="AD40" i="8"/>
  <c r="AE40" i="8" s="1"/>
  <c r="AH40" i="8" s="1"/>
  <c r="Y29" i="8"/>
  <c r="Z29" i="8" s="1"/>
  <c r="AC29" i="8" s="1"/>
  <c r="Y33" i="8"/>
  <c r="Z33" i="8" s="1"/>
  <c r="AC33" i="8" s="1"/>
  <c r="AD31" i="8"/>
  <c r="AE31" i="8" s="1"/>
  <c r="AH31" i="8" s="1"/>
  <c r="AD30" i="8"/>
  <c r="AE30" i="8" s="1"/>
  <c r="AH30" i="8" s="1"/>
  <c r="AD28" i="8"/>
  <c r="AE28" i="8" s="1"/>
  <c r="AH28" i="8" s="1"/>
  <c r="AD32" i="18"/>
  <c r="AD104" i="18" s="1"/>
  <c r="BB55" i="18"/>
  <c r="BB60" i="18" s="1"/>
  <c r="AI9" i="8"/>
  <c r="AI11" i="8"/>
  <c r="AI19" i="8"/>
  <c r="AI16" i="8"/>
  <c r="AD14" i="8"/>
  <c r="J130" i="18"/>
  <c r="J129" i="18"/>
  <c r="L28" i="17"/>
  <c r="D48" i="17" s="1"/>
  <c r="G48" i="17" s="1"/>
  <c r="H48" i="17" s="1"/>
  <c r="D68" i="17" s="1"/>
  <c r="L34" i="17"/>
  <c r="D54" i="17" s="1"/>
  <c r="L29" i="17"/>
  <c r="D49" i="17" s="1"/>
  <c r="G49" i="17" s="1"/>
  <c r="H49" i="17" s="1"/>
  <c r="D69" i="17" s="1"/>
  <c r="G69" i="17" s="1"/>
  <c r="H69" i="17" s="1"/>
  <c r="D90" i="17" s="1"/>
  <c r="L33" i="17"/>
  <c r="D53" i="17" s="1"/>
  <c r="G53" i="17" s="1"/>
  <c r="H53" i="17" s="1"/>
  <c r="D73" i="17" s="1"/>
  <c r="G73" i="17" s="1"/>
  <c r="H73" i="17" s="1"/>
  <c r="D94" i="17" s="1"/>
  <c r="L35" i="17"/>
  <c r="D55" i="17" s="1"/>
  <c r="H55" i="17" s="1"/>
  <c r="D75" i="17" s="1"/>
  <c r="AI15" i="8"/>
  <c r="AD10" i="8"/>
  <c r="AC10" i="8"/>
  <c r="AI20" i="8"/>
  <c r="AK21" i="8"/>
  <c r="AK17" i="8"/>
  <c r="AF10" i="8"/>
  <c r="AK9" i="8"/>
  <c r="AM9" i="8" s="1"/>
  <c r="AF9" i="8"/>
  <c r="AK19" i="8"/>
  <c r="AC19" i="8"/>
  <c r="AI13" i="8"/>
  <c r="AC16" i="8"/>
  <c r="AC14" i="8"/>
  <c r="AI18" i="8"/>
  <c r="AC11" i="8"/>
  <c r="AF11" i="8"/>
  <c r="AF15" i="8"/>
  <c r="AC15" i="8"/>
  <c r="AC12" i="8"/>
  <c r="AF12" i="8"/>
  <c r="AC13" i="8"/>
  <c r="AF13" i="8"/>
  <c r="AH17" i="8"/>
  <c r="AH20" i="8"/>
  <c r="AC17" i="8"/>
  <c r="AK18" i="8"/>
  <c r="AH18" i="8"/>
  <c r="AI21" i="8"/>
  <c r="AH21" i="8"/>
  <c r="AI12" i="8"/>
  <c r="P11" i="16"/>
  <c r="W11" i="16" s="1"/>
  <c r="AD31" i="18"/>
  <c r="AD33" i="18"/>
  <c r="AD34" i="18"/>
  <c r="W125" i="18"/>
  <c r="K137" i="18"/>
  <c r="W144" i="18"/>
  <c r="F144" i="18"/>
  <c r="J147" i="18"/>
  <c r="K139" i="18"/>
  <c r="E147" i="18"/>
  <c r="W146" i="18"/>
  <c r="AK112" i="18"/>
  <c r="AR112" i="18"/>
  <c r="Q137" i="18"/>
  <c r="AY112" i="18"/>
  <c r="AD112" i="18"/>
  <c r="AR40" i="18"/>
  <c r="AR39" i="18"/>
  <c r="BE7" i="18"/>
  <c r="AY7" i="18" s="1"/>
  <c r="H45" i="17"/>
  <c r="D65" i="17" s="1"/>
  <c r="G65" i="17" s="1"/>
  <c r="H65" i="17" s="1"/>
  <c r="D86" i="17" s="1"/>
  <c r="AD121" i="18"/>
  <c r="AK23" i="18"/>
  <c r="AK26" i="18"/>
  <c r="AK25" i="18"/>
  <c r="AK24" i="18"/>
  <c r="AK52" i="18"/>
  <c r="AK53" i="18"/>
  <c r="AK54" i="18"/>
  <c r="AK51" i="18"/>
  <c r="K129" i="18"/>
  <c r="K131" i="18"/>
  <c r="K128" i="18"/>
  <c r="AD120" i="18"/>
  <c r="P125" i="18"/>
  <c r="P147" i="18"/>
  <c r="K130" i="18"/>
  <c r="J144" i="18"/>
  <c r="J125" i="18"/>
  <c r="J145" i="18"/>
  <c r="E144" i="18"/>
  <c r="E145" i="18"/>
  <c r="E146" i="18"/>
  <c r="AK16" i="18"/>
  <c r="AK17" i="18"/>
  <c r="AK18" i="18"/>
  <c r="AK15" i="18"/>
  <c r="K145" i="18"/>
  <c r="K146" i="18"/>
  <c r="K144" i="18"/>
  <c r="P129" i="18"/>
  <c r="AK31" i="18"/>
  <c r="AK32" i="18"/>
  <c r="AK33" i="18"/>
  <c r="AK34" i="18"/>
  <c r="J116" i="18"/>
  <c r="J136" i="18" s="1"/>
  <c r="AR12" i="18"/>
  <c r="AR11" i="18"/>
  <c r="AR13" i="18"/>
  <c r="AR14" i="18"/>
  <c r="AK8" i="18"/>
  <c r="AK10" i="18"/>
  <c r="AK7" i="18"/>
  <c r="AK9" i="18"/>
  <c r="BC55" i="18"/>
  <c r="Q128" i="18"/>
  <c r="Q129" i="18"/>
  <c r="Q131" i="18"/>
  <c r="Q130" i="18"/>
  <c r="AK48" i="18"/>
  <c r="AK49" i="18"/>
  <c r="AK50" i="18"/>
  <c r="AK47" i="18"/>
  <c r="AD123" i="18"/>
  <c r="E131" i="18"/>
  <c r="E128" i="18"/>
  <c r="E129" i="18"/>
  <c r="P145" i="18"/>
  <c r="W138" i="18"/>
  <c r="W136" i="18"/>
  <c r="W139" i="18"/>
  <c r="W140" i="18"/>
  <c r="L144" i="18"/>
  <c r="L145" i="18"/>
  <c r="P130" i="18"/>
  <c r="P128" i="18"/>
  <c r="P131" i="18"/>
  <c r="F147" i="18"/>
  <c r="F145" i="18"/>
  <c r="F146" i="18"/>
  <c r="W130" i="18"/>
  <c r="BH9" i="18" s="1"/>
  <c r="W128" i="18"/>
  <c r="W129" i="18"/>
  <c r="BH8" i="18" s="1"/>
  <c r="L136" i="18"/>
  <c r="L140" i="18"/>
  <c r="L137" i="18"/>
  <c r="L138" i="18"/>
  <c r="AR19" i="18"/>
  <c r="AR22" i="18"/>
  <c r="AR21" i="18"/>
  <c r="AR20" i="18"/>
  <c r="AR27" i="18"/>
  <c r="AR28" i="18"/>
  <c r="AR29" i="18"/>
  <c r="AR30" i="18"/>
  <c r="AK43" i="18"/>
  <c r="AK46" i="18"/>
  <c r="AK45" i="18"/>
  <c r="AK44" i="18"/>
  <c r="L129" i="18"/>
  <c r="L128" i="18"/>
  <c r="L131" i="18"/>
  <c r="K147" i="18"/>
  <c r="L147" i="18"/>
  <c r="E138" i="18"/>
  <c r="E137" i="18"/>
  <c r="E140" i="18"/>
  <c r="P144" i="18"/>
  <c r="P12" i="16"/>
  <c r="W12" i="16" s="1"/>
  <c r="V12" i="16"/>
  <c r="G52" i="17"/>
  <c r="H52" i="17" s="1"/>
  <c r="D72" i="17" s="1"/>
  <c r="M37" i="17"/>
  <c r="G54" i="17"/>
  <c r="H54" i="17" s="1"/>
  <c r="D74" i="17" s="1"/>
  <c r="K37" i="17"/>
  <c r="G51" i="17"/>
  <c r="H51" i="17" s="1"/>
  <c r="D71" i="17" s="1"/>
  <c r="G50" i="17"/>
  <c r="H50" i="17" s="1"/>
  <c r="D70" i="17" s="1"/>
  <c r="L24" i="17"/>
  <c r="L26" i="17"/>
  <c r="D46" i="17" s="1"/>
  <c r="G37" i="17"/>
  <c r="D47" i="22" l="1"/>
  <c r="D49" i="22" s="1"/>
  <c r="AD55" i="18"/>
  <c r="AD99" i="18" s="1"/>
  <c r="F5" i="2" s="1"/>
  <c r="F14" i="2" s="1"/>
  <c r="F132" i="18"/>
  <c r="P111" i="18"/>
  <c r="P116" i="18" s="1"/>
  <c r="P136" i="18" s="1"/>
  <c r="E43" i="22"/>
  <c r="E44" i="22" s="1"/>
  <c r="E46" i="22" s="1"/>
  <c r="P108" i="18"/>
  <c r="F141" i="18"/>
  <c r="Q141" i="18"/>
  <c r="K141" i="18"/>
  <c r="AD106" i="18"/>
  <c r="AC41" i="8"/>
  <c r="G20" i="2"/>
  <c r="J132" i="18"/>
  <c r="AR37" i="18"/>
  <c r="AD105" i="18"/>
  <c r="AD107" i="18" s="1"/>
  <c r="W148" i="18"/>
  <c r="AR36" i="18"/>
  <c r="AR35" i="18"/>
  <c r="W108" i="18"/>
  <c r="Q148" i="18"/>
  <c r="AR38" i="18"/>
  <c r="AI36" i="8"/>
  <c r="AJ36" i="8" s="1"/>
  <c r="AM36" i="8" s="1"/>
  <c r="AI31" i="8"/>
  <c r="AJ31" i="8" s="1"/>
  <c r="AM31" i="8" s="1"/>
  <c r="AM18" i="8"/>
  <c r="AI37" i="8"/>
  <c r="AJ37" i="8" s="1"/>
  <c r="AM37" i="8" s="1"/>
  <c r="AD33" i="8"/>
  <c r="AE33" i="8" s="1"/>
  <c r="AH33" i="8" s="1"/>
  <c r="AD29" i="8"/>
  <c r="AE29" i="8" s="1"/>
  <c r="AH29" i="8" s="1"/>
  <c r="AI35" i="8"/>
  <c r="AJ35" i="8" s="1"/>
  <c r="AM35" i="8" s="1"/>
  <c r="AI34" i="8"/>
  <c r="AJ34" i="8" s="1"/>
  <c r="AM34" i="8" s="1"/>
  <c r="AI40" i="8"/>
  <c r="AJ40" i="8" s="1"/>
  <c r="AM40" i="8" s="1"/>
  <c r="AM17" i="8"/>
  <c r="AM19" i="8"/>
  <c r="AI38" i="8"/>
  <c r="AJ38" i="8" s="1"/>
  <c r="AM38" i="8" s="1"/>
  <c r="AI32" i="8"/>
  <c r="AJ32" i="8" s="1"/>
  <c r="AM32" i="8" s="1"/>
  <c r="AI30" i="8"/>
  <c r="AJ30" i="8" s="1"/>
  <c r="AM30" i="8" s="1"/>
  <c r="AI39" i="8"/>
  <c r="AJ39" i="8" s="1"/>
  <c r="AM39" i="8" s="1"/>
  <c r="AI28" i="8"/>
  <c r="AJ28" i="8" s="1"/>
  <c r="AM28" i="8" s="1"/>
  <c r="AD122" i="18"/>
  <c r="AD124" i="18" s="1"/>
  <c r="BC60" i="18"/>
  <c r="AI14" i="8"/>
  <c r="P132" i="18"/>
  <c r="AM21" i="8"/>
  <c r="AI10" i="8"/>
  <c r="AH10" i="8"/>
  <c r="AK10" i="8"/>
  <c r="AK14" i="8"/>
  <c r="AF14" i="8"/>
  <c r="AK20" i="8"/>
  <c r="AM20" i="8" s="1"/>
  <c r="AF16" i="8"/>
  <c r="AH16" i="8" s="1"/>
  <c r="AH13" i="8"/>
  <c r="AH12" i="8"/>
  <c r="AH15" i="8"/>
  <c r="AH11" i="8"/>
  <c r="E148" i="18"/>
  <c r="AK122" i="18"/>
  <c r="W141" i="18"/>
  <c r="K148" i="18"/>
  <c r="E141" i="18"/>
  <c r="F148" i="18"/>
  <c r="AK104" i="18"/>
  <c r="L132" i="18"/>
  <c r="AK121" i="18"/>
  <c r="E132" i="18"/>
  <c r="AR47" i="18"/>
  <c r="AR48" i="18"/>
  <c r="AR49" i="18"/>
  <c r="AR50" i="18"/>
  <c r="AR7" i="18"/>
  <c r="AR8" i="18"/>
  <c r="AR10" i="18"/>
  <c r="AR9" i="18"/>
  <c r="BD55" i="18"/>
  <c r="BD60" i="18" s="1"/>
  <c r="AR23" i="18"/>
  <c r="AR24" i="18"/>
  <c r="AR25" i="18"/>
  <c r="AR26" i="18"/>
  <c r="AY19" i="18"/>
  <c r="AY22" i="18"/>
  <c r="AY21" i="18"/>
  <c r="AY20" i="18"/>
  <c r="AK105" i="18"/>
  <c r="P138" i="18"/>
  <c r="P139" i="18"/>
  <c r="P137" i="18"/>
  <c r="P140" i="18"/>
  <c r="AY38" i="18"/>
  <c r="AY37" i="18"/>
  <c r="AY35" i="18"/>
  <c r="AY36" i="18"/>
  <c r="AR15" i="18"/>
  <c r="AR16" i="18"/>
  <c r="AR17" i="18"/>
  <c r="AR18" i="18"/>
  <c r="AR51" i="18"/>
  <c r="AR52" i="18"/>
  <c r="AR53" i="18"/>
  <c r="AR54" i="18"/>
  <c r="Q132" i="18"/>
  <c r="AR44" i="18"/>
  <c r="AR43" i="18"/>
  <c r="AR46" i="18"/>
  <c r="AR45" i="18"/>
  <c r="L148" i="18"/>
  <c r="AK55" i="18"/>
  <c r="AK59" i="18" s="1"/>
  <c r="AK120" i="18"/>
  <c r="AK103" i="18"/>
  <c r="K132" i="18"/>
  <c r="BH7" i="18"/>
  <c r="BH11" i="18" s="1"/>
  <c r="W132" i="18"/>
  <c r="AR32" i="18"/>
  <c r="AR33" i="18"/>
  <c r="AR34" i="18"/>
  <c r="AR31" i="18"/>
  <c r="P148" i="18"/>
  <c r="AY28" i="18"/>
  <c r="AY29" i="18"/>
  <c r="AY30" i="18"/>
  <c r="AY27" i="18"/>
  <c r="AY13" i="18"/>
  <c r="AY14" i="18"/>
  <c r="AY12" i="18"/>
  <c r="AY11" i="18"/>
  <c r="J148" i="18"/>
  <c r="AK123" i="18"/>
  <c r="L141" i="18"/>
  <c r="AK106" i="18"/>
  <c r="J117" i="18"/>
  <c r="J137" i="18"/>
  <c r="J138" i="18"/>
  <c r="J139" i="18"/>
  <c r="J140" i="18"/>
  <c r="G86" i="17"/>
  <c r="H86" i="17"/>
  <c r="D105" i="17" s="1"/>
  <c r="G94" i="17"/>
  <c r="H94" i="17"/>
  <c r="D113" i="17" s="1"/>
  <c r="G70" i="17"/>
  <c r="H70" i="17" s="1"/>
  <c r="D91" i="17" s="1"/>
  <c r="G74" i="17"/>
  <c r="H74" i="17" s="1"/>
  <c r="D95" i="17" s="1"/>
  <c r="G71" i="17"/>
  <c r="H71" i="17" s="1"/>
  <c r="D92" i="17" s="1"/>
  <c r="G68" i="17"/>
  <c r="H68" i="17" s="1"/>
  <c r="D89" i="17" s="1"/>
  <c r="G72" i="17"/>
  <c r="H72" i="17" s="1"/>
  <c r="D93" i="17" s="1"/>
  <c r="G75" i="17"/>
  <c r="H75" i="17" s="1"/>
  <c r="D96" i="17" s="1"/>
  <c r="G90" i="17"/>
  <c r="H90" i="17" s="1"/>
  <c r="D109" i="17" s="1"/>
  <c r="L37" i="17"/>
  <c r="D44" i="17"/>
  <c r="E47" i="22" l="1"/>
  <c r="E49" i="22" s="1"/>
  <c r="F8" i="2"/>
  <c r="F25" i="2" s="1"/>
  <c r="P117" i="18"/>
  <c r="AD131" i="18"/>
  <c r="AH41" i="8"/>
  <c r="AD62" i="18"/>
  <c r="AM10" i="8"/>
  <c r="AI29" i="8"/>
  <c r="AJ29" i="8" s="1"/>
  <c r="AM29" i="8" s="1"/>
  <c r="AI33" i="8"/>
  <c r="AJ33" i="8" s="1"/>
  <c r="AM33" i="8" s="1"/>
  <c r="AM14" i="8"/>
  <c r="AH14" i="8"/>
  <c r="H20" i="2" s="1"/>
  <c r="AK12" i="8"/>
  <c r="AM12" i="8" s="1"/>
  <c r="AK13" i="8"/>
  <c r="AM13" i="8" s="1"/>
  <c r="AK11" i="8"/>
  <c r="AM11" i="8" s="1"/>
  <c r="AK16" i="8"/>
  <c r="AM16" i="8" s="1"/>
  <c r="AK15" i="8"/>
  <c r="AM15" i="8" s="1"/>
  <c r="P141" i="18"/>
  <c r="AR121" i="18"/>
  <c r="J141" i="18"/>
  <c r="AR106" i="18"/>
  <c r="AD147" i="18"/>
  <c r="AD145" i="18"/>
  <c r="AD146" i="18"/>
  <c r="AD144" i="18"/>
  <c r="G44" i="17"/>
  <c r="H44" i="17" s="1"/>
  <c r="AK62" i="18"/>
  <c r="AR105" i="18"/>
  <c r="AR104" i="18"/>
  <c r="AR123" i="18"/>
  <c r="AR103" i="18"/>
  <c r="AR55" i="18"/>
  <c r="AR59" i="18" s="1"/>
  <c r="AR120" i="18"/>
  <c r="AY32" i="18"/>
  <c r="AY33" i="18"/>
  <c r="AY34" i="18"/>
  <c r="AY31" i="18"/>
  <c r="AY51" i="18"/>
  <c r="AY54" i="18"/>
  <c r="AY53" i="18"/>
  <c r="AY52" i="18"/>
  <c r="AR122" i="18"/>
  <c r="AK107" i="18"/>
  <c r="AK128" i="18" s="1"/>
  <c r="AY43" i="18"/>
  <c r="AY44" i="18"/>
  <c r="AY45" i="18"/>
  <c r="AY46" i="18"/>
  <c r="AY48" i="18"/>
  <c r="AY49" i="18"/>
  <c r="AY50" i="18"/>
  <c r="AY47" i="18"/>
  <c r="AY16" i="18"/>
  <c r="AY17" i="18"/>
  <c r="AY18" i="18"/>
  <c r="AY15" i="18"/>
  <c r="AY23" i="18"/>
  <c r="AY24" i="18"/>
  <c r="AY26" i="18"/>
  <c r="AY25" i="18"/>
  <c r="AY9" i="18"/>
  <c r="BE55" i="18"/>
  <c r="BE60" i="18" s="1"/>
  <c r="AY8" i="18"/>
  <c r="AY10" i="18"/>
  <c r="AK124" i="18"/>
  <c r="G92" i="17"/>
  <c r="H92" i="17" s="1"/>
  <c r="D111" i="17" s="1"/>
  <c r="G109" i="17"/>
  <c r="H109" i="17" s="1"/>
  <c r="D57" i="17"/>
  <c r="G95" i="17"/>
  <c r="H95" i="17"/>
  <c r="D114" i="17" s="1"/>
  <c r="G91" i="17"/>
  <c r="H91" i="17" s="1"/>
  <c r="D110" i="17" s="1"/>
  <c r="G96" i="17"/>
  <c r="H96" i="17" s="1"/>
  <c r="D115" i="17" s="1"/>
  <c r="G89" i="17"/>
  <c r="H89" i="17" s="1"/>
  <c r="D108" i="17" s="1"/>
  <c r="G113" i="17"/>
  <c r="H113" i="17" s="1"/>
  <c r="G93" i="17"/>
  <c r="H93" i="17" s="1"/>
  <c r="D112" i="17" s="1"/>
  <c r="G105" i="17"/>
  <c r="H105" i="17" s="1"/>
  <c r="F10" i="2" l="1"/>
  <c r="AD128" i="18"/>
  <c r="AK111" i="18"/>
  <c r="AK116" i="18" s="1"/>
  <c r="H43" i="22"/>
  <c r="H44" i="22" s="1"/>
  <c r="H47" i="22" s="1"/>
  <c r="AK99" i="18"/>
  <c r="AR111" i="18"/>
  <c r="I43" i="22"/>
  <c r="I44" i="22" s="1"/>
  <c r="AR99" i="18"/>
  <c r="AD111" i="18"/>
  <c r="AD116" i="18" s="1"/>
  <c r="AD140" i="18" s="1"/>
  <c r="G43" i="22"/>
  <c r="G44" i="22" s="1"/>
  <c r="AD129" i="18"/>
  <c r="AD130" i="18"/>
  <c r="AD109" i="18"/>
  <c r="AK109" i="18"/>
  <c r="I20" i="2"/>
  <c r="AM41" i="8"/>
  <c r="AY103" i="18"/>
  <c r="AY120" i="18"/>
  <c r="C4" i="19"/>
  <c r="AD148" i="18"/>
  <c r="AY121" i="18"/>
  <c r="AY105" i="18"/>
  <c r="AK131" i="18"/>
  <c r="AY122" i="18"/>
  <c r="AK145" i="18"/>
  <c r="AK146" i="18"/>
  <c r="AR62" i="18"/>
  <c r="AK147" i="18"/>
  <c r="AK144" i="18"/>
  <c r="AY123" i="18"/>
  <c r="AR124" i="18"/>
  <c r="AR107" i="18"/>
  <c r="AY106" i="18"/>
  <c r="AK129" i="18"/>
  <c r="AY55" i="18"/>
  <c r="AY59" i="18" s="1"/>
  <c r="AY104" i="18"/>
  <c r="AK130" i="18"/>
  <c r="G111" i="17"/>
  <c r="H111" i="17" s="1"/>
  <c r="G110" i="17"/>
  <c r="H110" i="17" s="1"/>
  <c r="G114" i="17"/>
  <c r="H114" i="17"/>
  <c r="G115" i="17"/>
  <c r="H115" i="17" s="1"/>
  <c r="G112" i="17"/>
  <c r="H112" i="17" s="1"/>
  <c r="G108" i="17"/>
  <c r="H108" i="17" s="1"/>
  <c r="AK108" i="18" l="1"/>
  <c r="G5" i="2"/>
  <c r="G47" i="22"/>
  <c r="AD139" i="18"/>
  <c r="AD137" i="18"/>
  <c r="AD138" i="18"/>
  <c r="AD136" i="18"/>
  <c r="AK100" i="18"/>
  <c r="AY124" i="18"/>
  <c r="AY147" i="18" s="1"/>
  <c r="AD132" i="18"/>
  <c r="AR129" i="18"/>
  <c r="AR109" i="18"/>
  <c r="I47" i="22"/>
  <c r="H5" i="2"/>
  <c r="AR100" i="18"/>
  <c r="AK136" i="18"/>
  <c r="AK137" i="18"/>
  <c r="AK140" i="18"/>
  <c r="AK138" i="18"/>
  <c r="AK139" i="18"/>
  <c r="AK132" i="18"/>
  <c r="AR128" i="18"/>
  <c r="AR130" i="18"/>
  <c r="AR145" i="18"/>
  <c r="AY107" i="18"/>
  <c r="AY109" i="18" s="1"/>
  <c r="AK148" i="18"/>
  <c r="AR146" i="18"/>
  <c r="AR116" i="18"/>
  <c r="AR136" i="18" s="1"/>
  <c r="AR108" i="18"/>
  <c r="AR131" i="18"/>
  <c r="AY62" i="18"/>
  <c r="AR144" i="18"/>
  <c r="AR147" i="18"/>
  <c r="D64" i="17"/>
  <c r="G14" i="2" l="1"/>
  <c r="H14" i="2"/>
  <c r="AD141" i="18"/>
  <c r="AY128" i="18"/>
  <c r="AY130" i="18"/>
  <c r="AY129" i="18"/>
  <c r="AY131" i="18"/>
  <c r="J43" i="22"/>
  <c r="J44" i="22" s="1"/>
  <c r="AY111" i="18"/>
  <c r="AY99" i="18"/>
  <c r="AY100" i="18" s="1"/>
  <c r="AY144" i="18"/>
  <c r="AK141" i="18"/>
  <c r="AR132" i="18"/>
  <c r="AY146" i="18"/>
  <c r="AY145" i="18"/>
  <c r="AR137" i="18"/>
  <c r="AR138" i="18"/>
  <c r="AR139" i="18"/>
  <c r="AR140" i="18"/>
  <c r="AR148" i="18"/>
  <c r="G64" i="17"/>
  <c r="J47" i="22" l="1"/>
  <c r="AY132" i="18"/>
  <c r="AY108" i="18"/>
  <c r="I5" i="2"/>
  <c r="AY116" i="18"/>
  <c r="AY117" i="18" s="1"/>
  <c r="AR141" i="18"/>
  <c r="AY148" i="18"/>
  <c r="H64" i="17"/>
  <c r="AY140" i="18" l="1"/>
  <c r="AY137" i="18"/>
  <c r="AY138" i="18"/>
  <c r="AY136" i="18"/>
  <c r="I8" i="2"/>
  <c r="I14" i="2"/>
  <c r="AY139" i="18"/>
  <c r="D85" i="17"/>
  <c r="AY141" i="18" l="1"/>
  <c r="G85" i="17"/>
  <c r="H85" i="17" l="1"/>
  <c r="D104" i="17" l="1"/>
  <c r="N14" i="2" l="1"/>
  <c r="F27" i="2"/>
  <c r="F24" i="2"/>
  <c r="F17" i="2" s="1"/>
  <c r="G104" i="17"/>
  <c r="G28" i="9"/>
  <c r="F28" i="9" s="1"/>
  <c r="F27" i="9"/>
  <c r="E27" i="9"/>
  <c r="D27" i="9"/>
  <c r="C27" i="9"/>
  <c r="E37" i="9"/>
  <c r="D37" i="9"/>
  <c r="C37" i="9"/>
  <c r="G38" i="9"/>
  <c r="F38" i="9" s="1"/>
  <c r="E9" i="4"/>
  <c r="E27" i="4" s="1"/>
  <c r="C24" i="2"/>
  <c r="C21" i="2"/>
  <c r="C18" i="2"/>
  <c r="D24" i="2"/>
  <c r="D21" i="2"/>
  <c r="D18" i="2"/>
  <c r="E21" i="2"/>
  <c r="E24" i="2"/>
  <c r="E18" i="2"/>
  <c r="E7" i="4"/>
  <c r="E20" i="4"/>
  <c r="E26" i="4"/>
  <c r="E29" i="4"/>
  <c r="E8" i="4"/>
  <c r="E34" i="1"/>
  <c r="E25" i="1"/>
  <c r="F18" i="4" s="1"/>
  <c r="E24" i="1"/>
  <c r="E23" i="1"/>
  <c r="E22" i="1"/>
  <c r="E17" i="1"/>
  <c r="E10" i="1"/>
  <c r="E9" i="1"/>
  <c r="E6" i="1"/>
  <c r="E5" i="1"/>
  <c r="D16" i="1"/>
  <c r="D17" i="1"/>
  <c r="D10" i="1"/>
  <c r="D9" i="1"/>
  <c r="D6" i="1"/>
  <c r="D5" i="1"/>
  <c r="D25" i="1"/>
  <c r="D24" i="1"/>
  <c r="F33" i="13" s="1"/>
  <c r="D23" i="1"/>
  <c r="F29" i="13" s="1"/>
  <c r="D22" i="1"/>
  <c r="D35" i="1"/>
  <c r="E35" i="1" s="1"/>
  <c r="D34" i="1"/>
  <c r="C35" i="1"/>
  <c r="C34" i="1"/>
  <c r="F29" i="2" l="1"/>
  <c r="N24" i="2"/>
  <c r="N27" i="2"/>
  <c r="N16" i="2"/>
  <c r="N15" i="2"/>
  <c r="N20" i="2"/>
  <c r="N26" i="2"/>
  <c r="N28" i="2"/>
  <c r="N19" i="2"/>
  <c r="N21" i="2"/>
  <c r="C48" i="26"/>
  <c r="C49" i="26" s="1"/>
  <c r="N18" i="2"/>
  <c r="N25" i="2"/>
  <c r="F12" i="4"/>
  <c r="F23" i="4"/>
  <c r="F24" i="4" s="1"/>
  <c r="E28" i="30"/>
  <c r="E22" i="30" s="1"/>
  <c r="E24" i="30" s="1"/>
  <c r="D28" i="30"/>
  <c r="D22" i="30" s="1"/>
  <c r="D24" i="30" s="1"/>
  <c r="F33" i="4"/>
  <c r="G20" i="13"/>
  <c r="G25" i="4"/>
  <c r="F25" i="4"/>
  <c r="F28" i="4"/>
  <c r="G31" i="13"/>
  <c r="F13" i="4"/>
  <c r="F14" i="4"/>
  <c r="E11" i="1"/>
  <c r="F15" i="4" s="1"/>
  <c r="F17" i="4"/>
  <c r="B7" i="20"/>
  <c r="F5" i="30"/>
  <c r="E17" i="2"/>
  <c r="E29" i="2" s="1"/>
  <c r="D17" i="2"/>
  <c r="C17" i="2"/>
  <c r="C19" i="19"/>
  <c r="N43" i="2"/>
  <c r="N9" i="2"/>
  <c r="N34" i="2"/>
  <c r="N10" i="2"/>
  <c r="N35" i="2"/>
  <c r="N7" i="2"/>
  <c r="N6" i="2"/>
  <c r="N5" i="2"/>
  <c r="N8" i="2"/>
  <c r="E26" i="1"/>
  <c r="G33" i="13"/>
  <c r="G14" i="13"/>
  <c r="G25" i="13"/>
  <c r="F25" i="13"/>
  <c r="F14" i="13"/>
  <c r="F31" i="13"/>
  <c r="E18" i="1"/>
  <c r="D11" i="1"/>
  <c r="D12" i="1" s="1"/>
  <c r="F35" i="13"/>
  <c r="G18" i="13"/>
  <c r="D18" i="1"/>
  <c r="D26" i="1"/>
  <c r="D38" i="1"/>
  <c r="D17" i="30" s="1"/>
  <c r="G34" i="1"/>
  <c r="H28" i="4" s="1"/>
  <c r="C38" i="1"/>
  <c r="C17" i="30" s="1"/>
  <c r="E28" i="4"/>
  <c r="H104" i="17"/>
  <c r="D28" i="9"/>
  <c r="E28" i="9"/>
  <c r="C28" i="9"/>
  <c r="C38" i="9"/>
  <c r="D38" i="9"/>
  <c r="E38" i="9"/>
  <c r="C25" i="1"/>
  <c r="E18" i="4" s="1"/>
  <c r="C24" i="1"/>
  <c r="C23" i="1"/>
  <c r="E29" i="13" s="1"/>
  <c r="C22" i="1"/>
  <c r="E25" i="4" s="1"/>
  <c r="C17" i="1"/>
  <c r="E23" i="4" s="1"/>
  <c r="E24" i="4" s="1"/>
  <c r="E26" i="13"/>
  <c r="F26" i="13"/>
  <c r="E27" i="13"/>
  <c r="F27" i="13"/>
  <c r="C5" i="1"/>
  <c r="C28" i="30" s="1"/>
  <c r="C22" i="30" s="1"/>
  <c r="C24" i="30" s="1"/>
  <c r="C10" i="1"/>
  <c r="F16" i="13"/>
  <c r="E16" i="13"/>
  <c r="F15" i="13"/>
  <c r="G15" i="13" s="1"/>
  <c r="I18" i="13"/>
  <c r="J18" i="13" s="1"/>
  <c r="K18" i="13" s="1"/>
  <c r="C6" i="1"/>
  <c r="C9" i="1"/>
  <c r="F30" i="4" l="1"/>
  <c r="F26" i="1"/>
  <c r="F19" i="4"/>
  <c r="F11" i="1"/>
  <c r="G15" i="4" s="1"/>
  <c r="F20" i="13"/>
  <c r="E20" i="13"/>
  <c r="E12" i="1"/>
  <c r="D26" i="30"/>
  <c r="D29" i="2"/>
  <c r="E14" i="4"/>
  <c r="E35" i="13"/>
  <c r="E33" i="4"/>
  <c r="E13" i="4"/>
  <c r="E31" i="13"/>
  <c r="E17" i="4"/>
  <c r="E33" i="13"/>
  <c r="E18" i="13"/>
  <c r="E12" i="4"/>
  <c r="E25" i="13"/>
  <c r="E14" i="13"/>
  <c r="G11" i="1"/>
  <c r="H15" i="4" s="1"/>
  <c r="F18" i="13"/>
  <c r="D27" i="1"/>
  <c r="E30" i="4"/>
  <c r="C11" i="1"/>
  <c r="E15" i="4" s="1"/>
  <c r="C26" i="1"/>
  <c r="E19" i="4" s="1"/>
  <c r="H34" i="1"/>
  <c r="I28" i="4" s="1"/>
  <c r="E16" i="4"/>
  <c r="D7" i="2"/>
  <c r="G26" i="1" l="1"/>
  <c r="G19" i="4"/>
  <c r="C12" i="1"/>
  <c r="H11" i="1"/>
  <c r="I15" i="4" s="1"/>
  <c r="C27" i="1"/>
  <c r="I34" i="1"/>
  <c r="J28" i="4" s="1"/>
  <c r="W47" i="16"/>
  <c r="V47" i="16"/>
  <c r="U47" i="16"/>
  <c r="T47" i="16"/>
  <c r="S47" i="16"/>
  <c r="R47" i="16"/>
  <c r="Q47" i="16"/>
  <c r="W46" i="16"/>
  <c r="V46" i="16"/>
  <c r="U46" i="16"/>
  <c r="T46" i="16"/>
  <c r="S46" i="16"/>
  <c r="R46" i="16"/>
  <c r="Q46" i="16"/>
  <c r="W45" i="16"/>
  <c r="V45" i="16"/>
  <c r="U45" i="16"/>
  <c r="T45" i="16"/>
  <c r="S45" i="16"/>
  <c r="R45" i="16"/>
  <c r="Q45" i="16"/>
  <c r="W44" i="16"/>
  <c r="U44" i="16"/>
  <c r="T44" i="16"/>
  <c r="S44" i="16"/>
  <c r="R44" i="16"/>
  <c r="Q44" i="16"/>
  <c r="I54" i="16"/>
  <c r="H54" i="16"/>
  <c r="G54" i="16"/>
  <c r="F54" i="16"/>
  <c r="E54" i="16"/>
  <c r="D54" i="16"/>
  <c r="C54" i="16"/>
  <c r="W42" i="16"/>
  <c r="V42" i="16"/>
  <c r="U42" i="16"/>
  <c r="T42" i="16"/>
  <c r="S42" i="16"/>
  <c r="R42" i="16"/>
  <c r="Q42" i="16"/>
  <c r="W41" i="16"/>
  <c r="V41" i="16"/>
  <c r="U41" i="16"/>
  <c r="T41" i="16"/>
  <c r="S41" i="16"/>
  <c r="R41" i="16"/>
  <c r="Q41" i="16"/>
  <c r="W40" i="16"/>
  <c r="V40" i="16"/>
  <c r="U40" i="16"/>
  <c r="T40" i="16"/>
  <c r="S40" i="16"/>
  <c r="R40" i="16"/>
  <c r="Q40" i="16"/>
  <c r="W39" i="16"/>
  <c r="V39" i="16"/>
  <c r="U39" i="16"/>
  <c r="T39" i="16"/>
  <c r="S39" i="16"/>
  <c r="R39" i="16"/>
  <c r="Q39" i="16"/>
  <c r="W38" i="16"/>
  <c r="V38" i="16"/>
  <c r="U38" i="16"/>
  <c r="T38" i="16"/>
  <c r="S38" i="16"/>
  <c r="R38" i="16"/>
  <c r="Q38" i="16"/>
  <c r="W36" i="16"/>
  <c r="V36" i="16"/>
  <c r="U36" i="16"/>
  <c r="T36" i="16"/>
  <c r="S36" i="16"/>
  <c r="R36" i="16"/>
  <c r="Q36" i="16"/>
  <c r="W35" i="16"/>
  <c r="V35" i="16"/>
  <c r="U35" i="16"/>
  <c r="T35" i="16"/>
  <c r="S35" i="16"/>
  <c r="R35" i="16"/>
  <c r="Q35" i="16"/>
  <c r="W34" i="16"/>
  <c r="V34" i="16"/>
  <c r="U34" i="16"/>
  <c r="T34" i="16"/>
  <c r="S34" i="16"/>
  <c r="R34" i="16"/>
  <c r="Q34" i="16"/>
  <c r="W33" i="16"/>
  <c r="V33" i="16"/>
  <c r="U33" i="16"/>
  <c r="T33" i="16"/>
  <c r="S33" i="16"/>
  <c r="R33" i="16"/>
  <c r="Q33" i="16"/>
  <c r="W32" i="16"/>
  <c r="V32" i="16"/>
  <c r="U32" i="16"/>
  <c r="T32" i="16"/>
  <c r="S32" i="16"/>
  <c r="R32" i="16"/>
  <c r="Q32" i="16"/>
  <c r="W31" i="16"/>
  <c r="V31" i="16"/>
  <c r="U31" i="16"/>
  <c r="T31" i="16"/>
  <c r="S31" i="16"/>
  <c r="R31" i="16"/>
  <c r="Q31" i="16"/>
  <c r="W30" i="16"/>
  <c r="V30" i="16"/>
  <c r="U30" i="16"/>
  <c r="T30" i="16"/>
  <c r="S30" i="16"/>
  <c r="R30" i="16"/>
  <c r="Q30" i="16"/>
  <c r="W29" i="16"/>
  <c r="V29" i="16"/>
  <c r="U29" i="16"/>
  <c r="T29" i="16"/>
  <c r="S29" i="16"/>
  <c r="R29" i="16"/>
  <c r="Q29" i="16"/>
  <c r="W27" i="16"/>
  <c r="V27" i="16"/>
  <c r="U27" i="16"/>
  <c r="T27" i="16"/>
  <c r="S27" i="16"/>
  <c r="R27" i="16"/>
  <c r="Q27" i="16"/>
  <c r="W26" i="16"/>
  <c r="V26" i="16"/>
  <c r="U26" i="16"/>
  <c r="T26" i="16"/>
  <c r="S26" i="16"/>
  <c r="R26" i="16"/>
  <c r="Q26" i="16"/>
  <c r="W25" i="16"/>
  <c r="V25" i="16"/>
  <c r="T25" i="16"/>
  <c r="S25" i="16"/>
  <c r="R25" i="16"/>
  <c r="Q25" i="16"/>
  <c r="W24" i="16"/>
  <c r="V24" i="16"/>
  <c r="U24" i="16"/>
  <c r="T24" i="16"/>
  <c r="S24" i="16"/>
  <c r="R24" i="16"/>
  <c r="Q24" i="16"/>
  <c r="W23" i="16"/>
  <c r="V23" i="16"/>
  <c r="U23" i="16"/>
  <c r="T23" i="16"/>
  <c r="S23" i="16"/>
  <c r="R23" i="16"/>
  <c r="Q23" i="16"/>
  <c r="W22" i="16"/>
  <c r="V22" i="16"/>
  <c r="U22" i="16"/>
  <c r="T22" i="16"/>
  <c r="S22" i="16"/>
  <c r="R22" i="16"/>
  <c r="Q22" i="16"/>
  <c r="W21" i="16"/>
  <c r="V21" i="16"/>
  <c r="U21" i="16"/>
  <c r="T21" i="16"/>
  <c r="S21" i="16"/>
  <c r="R21" i="16"/>
  <c r="Q21" i="16"/>
  <c r="W20" i="16"/>
  <c r="V20" i="16"/>
  <c r="U20" i="16"/>
  <c r="T20" i="16"/>
  <c r="S20" i="16"/>
  <c r="R20" i="16"/>
  <c r="Q20" i="16"/>
  <c r="W19" i="16"/>
  <c r="V19" i="16"/>
  <c r="U19" i="16"/>
  <c r="T19" i="16"/>
  <c r="S19" i="16"/>
  <c r="R19" i="16"/>
  <c r="Q19" i="16"/>
  <c r="W18" i="16"/>
  <c r="V18" i="16"/>
  <c r="U18" i="16"/>
  <c r="T18" i="16"/>
  <c r="S18" i="16"/>
  <c r="R18" i="16"/>
  <c r="Q18" i="16"/>
  <c r="W17" i="16"/>
  <c r="V17" i="16"/>
  <c r="U17" i="16"/>
  <c r="T17" i="16"/>
  <c r="S17" i="16"/>
  <c r="R17" i="16"/>
  <c r="Q17" i="16"/>
  <c r="W16" i="16"/>
  <c r="V16" i="16"/>
  <c r="U16" i="16"/>
  <c r="T16" i="16"/>
  <c r="S16" i="16"/>
  <c r="R16" i="16"/>
  <c r="Q16" i="16"/>
  <c r="W15" i="16"/>
  <c r="V15" i="16"/>
  <c r="U15" i="16"/>
  <c r="T15" i="16"/>
  <c r="S15" i="16"/>
  <c r="R15" i="16"/>
  <c r="Q15" i="16"/>
  <c r="W14" i="16"/>
  <c r="V14" i="16"/>
  <c r="U14" i="16"/>
  <c r="T14" i="16"/>
  <c r="S14" i="16"/>
  <c r="R14" i="16"/>
  <c r="Q14" i="16"/>
  <c r="W13" i="16"/>
  <c r="V13" i="16"/>
  <c r="U13" i="16"/>
  <c r="T13" i="16"/>
  <c r="S13" i="16"/>
  <c r="R13" i="16"/>
  <c r="Q13" i="16"/>
  <c r="T12" i="16"/>
  <c r="S12" i="16"/>
  <c r="R12" i="16"/>
  <c r="Q12" i="16"/>
  <c r="T11" i="16"/>
  <c r="S11" i="16"/>
  <c r="R11" i="16"/>
  <c r="Q11" i="16"/>
  <c r="H26" i="1" l="1"/>
  <c r="H19" i="4"/>
  <c r="U54" i="16"/>
  <c r="V54" i="16"/>
  <c r="I11" i="1"/>
  <c r="J15" i="4" s="1"/>
  <c r="W54" i="16"/>
  <c r="R54" i="16"/>
  <c r="Q54" i="16"/>
  <c r="S54" i="16"/>
  <c r="I26" i="1" l="1"/>
  <c r="J19" i="4" s="1"/>
  <c r="I19" i="4"/>
  <c r="U56" i="16"/>
  <c r="Q56" i="16"/>
  <c r="T56" i="16"/>
  <c r="S56" i="16"/>
  <c r="R56" i="16"/>
  <c r="W56" i="16"/>
  <c r="V56" i="16"/>
  <c r="H12" i="13" l="1"/>
  <c r="I12" i="13" s="1"/>
  <c r="J12" i="13" s="1"/>
  <c r="K12" i="13" s="1"/>
  <c r="C32" i="10"/>
  <c r="G16" i="13"/>
  <c r="G27" i="13" s="1"/>
  <c r="G26" i="13"/>
  <c r="I16" i="13" l="1"/>
  <c r="J16" i="13" s="1"/>
  <c r="K16" i="13" s="1"/>
  <c r="I15" i="13" l="1"/>
  <c r="G25" i="10"/>
  <c r="F25" i="10"/>
  <c r="E25" i="10"/>
  <c r="E30" i="10" l="1"/>
  <c r="E32" i="10" s="1"/>
  <c r="E67" i="17" s="1"/>
  <c r="E35" i="10"/>
  <c r="F17" i="1"/>
  <c r="E27" i="10"/>
  <c r="E66" i="17" s="1"/>
  <c r="F29" i="21" s="1"/>
  <c r="S55" i="18"/>
  <c r="J15" i="13"/>
  <c r="E47" i="17"/>
  <c r="F27" i="10"/>
  <c r="F32" i="10"/>
  <c r="E88" i="17" s="1"/>
  <c r="G27" i="10"/>
  <c r="G32" i="10"/>
  <c r="E107" i="17" s="1"/>
  <c r="G17" i="1" l="1"/>
  <c r="H17" i="1" s="1"/>
  <c r="I17" i="1" s="1"/>
  <c r="C27" i="19"/>
  <c r="G23" i="4"/>
  <c r="C8" i="15"/>
  <c r="F45" i="22"/>
  <c r="F46" i="22" s="1"/>
  <c r="D66" i="17"/>
  <c r="G66" i="17" s="1"/>
  <c r="H66" i="17" s="1"/>
  <c r="D87" i="17" s="1"/>
  <c r="G87" i="17" s="1"/>
  <c r="H87" i="17" s="1"/>
  <c r="D106" i="17" s="1"/>
  <c r="G106" i="17" s="1"/>
  <c r="H106" i="17" s="1"/>
  <c r="F32" i="21"/>
  <c r="C28" i="19"/>
  <c r="E78" i="17"/>
  <c r="E98" i="17"/>
  <c r="C29" i="19"/>
  <c r="E57" i="17"/>
  <c r="G47" i="17"/>
  <c r="F48" i="21"/>
  <c r="E117" i="17"/>
  <c r="K15" i="13"/>
  <c r="N22" i="2"/>
  <c r="E8" i="2"/>
  <c r="E10" i="2" s="1"/>
  <c r="C9" i="2"/>
  <c r="D9" i="2"/>
  <c r="C7" i="2"/>
  <c r="C40" i="2"/>
  <c r="C9" i="30" s="1"/>
  <c r="F49" i="21" l="1"/>
  <c r="F33" i="21"/>
  <c r="M16" i="2"/>
  <c r="M6" i="2"/>
  <c r="F11" i="2"/>
  <c r="E5" i="30"/>
  <c r="F48" i="22"/>
  <c r="F49" i="22" s="1"/>
  <c r="H22" i="4"/>
  <c r="J22" i="21"/>
  <c r="E29" i="21" s="1"/>
  <c r="I29" i="21" s="1"/>
  <c r="G22" i="4"/>
  <c r="C30" i="19"/>
  <c r="J22" i="4"/>
  <c r="H47" i="17"/>
  <c r="G57" i="17"/>
  <c r="I24" i="21"/>
  <c r="F25" i="21"/>
  <c r="F26" i="21" s="1"/>
  <c r="I22" i="4"/>
  <c r="I39" i="21"/>
  <c r="F40" i="21"/>
  <c r="F41" i="21" s="1"/>
  <c r="M8" i="2"/>
  <c r="S51" i="18"/>
  <c r="S19" i="18"/>
  <c r="S35" i="18"/>
  <c r="S27" i="18"/>
  <c r="S47" i="18"/>
  <c r="S15" i="18"/>
  <c r="S31" i="18"/>
  <c r="S23" i="18"/>
  <c r="S43" i="18"/>
  <c r="S39" i="18"/>
  <c r="S11" i="18"/>
  <c r="S7" i="18"/>
  <c r="R7" i="18" s="1"/>
  <c r="C8" i="2"/>
  <c r="D8" i="2"/>
  <c r="F6" i="30" l="1"/>
  <c r="J29" i="21"/>
  <c r="E37" i="21" s="1"/>
  <c r="I25" i="21"/>
  <c r="B11" i="20" s="1"/>
  <c r="J39" i="21"/>
  <c r="E47" i="21" s="1"/>
  <c r="F40" i="2"/>
  <c r="D67" i="17"/>
  <c r="H57" i="17"/>
  <c r="F14" i="1" s="1"/>
  <c r="J24" i="21"/>
  <c r="E31" i="21" s="1"/>
  <c r="M40" i="2"/>
  <c r="M22" i="2"/>
  <c r="M43" i="2"/>
  <c r="M12" i="2"/>
  <c r="M9" i="2"/>
  <c r="M5" i="2"/>
  <c r="M34" i="2"/>
  <c r="M25" i="2"/>
  <c r="M23" i="2"/>
  <c r="M19" i="2"/>
  <c r="M10" i="2"/>
  <c r="M20" i="2"/>
  <c r="M15" i="2"/>
  <c r="M13" i="2"/>
  <c r="M7" i="2"/>
  <c r="M27" i="2"/>
  <c r="M35" i="2"/>
  <c r="M28" i="2"/>
  <c r="M26" i="2"/>
  <c r="M14" i="2"/>
  <c r="M46" i="2"/>
  <c r="M18" i="2"/>
  <c r="M24" i="2"/>
  <c r="M21" i="2"/>
  <c r="M17" i="2"/>
  <c r="C10" i="2"/>
  <c r="K16" i="2" s="1"/>
  <c r="B31" i="13"/>
  <c r="H24" i="13"/>
  <c r="I24" i="13" s="1"/>
  <c r="J24" i="13" s="1"/>
  <c r="K24" i="13" s="1"/>
  <c r="H3" i="13"/>
  <c r="I3" i="13" s="1"/>
  <c r="J3" i="13" s="1"/>
  <c r="K3" i="13" s="1"/>
  <c r="N40" i="2" l="1"/>
  <c r="F9" i="30"/>
  <c r="K8" i="2"/>
  <c r="C5" i="30"/>
  <c r="I37" i="21"/>
  <c r="I40" i="21" s="1"/>
  <c r="D11" i="20" s="1"/>
  <c r="I31" i="21"/>
  <c r="I32" i="21" s="1"/>
  <c r="C11" i="20" s="1"/>
  <c r="G67" i="17"/>
  <c r="D78" i="17"/>
  <c r="B10" i="20"/>
  <c r="I47" i="21"/>
  <c r="K26" i="2"/>
  <c r="K20" i="2"/>
  <c r="K5" i="2"/>
  <c r="K25" i="2"/>
  <c r="K19" i="2"/>
  <c r="K43" i="2"/>
  <c r="K12" i="2"/>
  <c r="K10" i="2"/>
  <c r="K35" i="2"/>
  <c r="K15" i="2"/>
  <c r="K34" i="2"/>
  <c r="K23" i="2"/>
  <c r="K28" i="2"/>
  <c r="K22" i="2"/>
  <c r="K13" i="2"/>
  <c r="K6" i="2"/>
  <c r="K27" i="2"/>
  <c r="K14" i="2"/>
  <c r="K46" i="2"/>
  <c r="K18" i="2"/>
  <c r="K24" i="2"/>
  <c r="K21" i="2"/>
  <c r="K17" i="2"/>
  <c r="K9" i="2"/>
  <c r="K7" i="2"/>
  <c r="K40" i="2"/>
  <c r="J37" i="21" l="1"/>
  <c r="E45" i="21" s="1"/>
  <c r="I45" i="21" s="1"/>
  <c r="I48" i="21" s="1"/>
  <c r="J47" i="21"/>
  <c r="J31" i="21"/>
  <c r="H67" i="17"/>
  <c r="G78" i="17"/>
  <c r="G40" i="2" s="1"/>
  <c r="E11" i="20" l="1"/>
  <c r="C10" i="20"/>
  <c r="G9" i="30"/>
  <c r="J45" i="21"/>
  <c r="D88" i="17"/>
  <c r="H78" i="17"/>
  <c r="G14" i="1" s="1"/>
  <c r="G88" i="17" l="1"/>
  <c r="D98" i="17"/>
  <c r="AJ22" i="8"/>
  <c r="AI22" i="8"/>
  <c r="AG22" i="8"/>
  <c r="AE22" i="8"/>
  <c r="AD22" i="8"/>
  <c r="AD41" i="8" s="1"/>
  <c r="AD42" i="8" s="1"/>
  <c r="AB22" i="8"/>
  <c r="Z22" i="8"/>
  <c r="Y22" i="8"/>
  <c r="W22" i="8"/>
  <c r="U22" i="8"/>
  <c r="T22" i="8"/>
  <c r="R22" i="8"/>
  <c r="P22" i="8"/>
  <c r="O22" i="8"/>
  <c r="M22" i="8"/>
  <c r="K22" i="8"/>
  <c r="J22" i="8"/>
  <c r="H22" i="8"/>
  <c r="F22" i="8"/>
  <c r="E22" i="8"/>
  <c r="AH9" i="8"/>
  <c r="AA22" i="8"/>
  <c r="V22" i="8"/>
  <c r="L22" i="8"/>
  <c r="AM22" i="8" l="1"/>
  <c r="I21" i="2"/>
  <c r="AH22" i="8"/>
  <c r="H21" i="2"/>
  <c r="T41" i="8"/>
  <c r="T42" i="8" s="1"/>
  <c r="AI41" i="8"/>
  <c r="AI42" i="8" s="1"/>
  <c r="Y41" i="8"/>
  <c r="Y42" i="8" s="1"/>
  <c r="H88" i="17"/>
  <c r="G98" i="17"/>
  <c r="H40" i="2" s="1"/>
  <c r="C20" i="19"/>
  <c r="I22" i="8"/>
  <c r="AK22" i="8"/>
  <c r="Q22" i="8"/>
  <c r="G22" i="8"/>
  <c r="AC9" i="8"/>
  <c r="AF22" i="8"/>
  <c r="N9" i="8"/>
  <c r="N22" i="8" s="1"/>
  <c r="AC22" i="8" l="1"/>
  <c r="G21" i="2"/>
  <c r="D10" i="20"/>
  <c r="H9" i="30"/>
  <c r="D107" i="17"/>
  <c r="H98" i="17"/>
  <c r="H14" i="1" s="1"/>
  <c r="X22" i="8"/>
  <c r="E4" i="4"/>
  <c r="D4" i="4"/>
  <c r="I19" i="3"/>
  <c r="E19" i="3"/>
  <c r="D19" i="3"/>
  <c r="C19" i="3"/>
  <c r="I18" i="3"/>
  <c r="D18" i="3"/>
  <c r="C18" i="3"/>
  <c r="D9" i="3"/>
  <c r="C9" i="3"/>
  <c r="H8" i="4"/>
  <c r="F9" i="3"/>
  <c r="E9" i="3"/>
  <c r="D10" i="2"/>
  <c r="L16" i="2" s="1"/>
  <c r="J4" i="3"/>
  <c r="I4" i="2"/>
  <c r="Q4" i="2" s="1"/>
  <c r="H4" i="2"/>
  <c r="H4" i="3" s="1"/>
  <c r="I4" i="4" s="1"/>
  <c r="G4" i="2"/>
  <c r="G4" i="3" s="1"/>
  <c r="H4" i="4" s="1"/>
  <c r="F4" i="2"/>
  <c r="F4" i="3" s="1"/>
  <c r="G4" i="4" s="1"/>
  <c r="E4" i="2"/>
  <c r="E4" i="3" s="1"/>
  <c r="F4" i="4" s="1"/>
  <c r="D4" i="2"/>
  <c r="D4" i="3" s="1"/>
  <c r="C4" i="2"/>
  <c r="C4" i="3" s="1"/>
  <c r="B3" i="2"/>
  <c r="E37" i="1"/>
  <c r="F37" i="1" s="1"/>
  <c r="G37" i="1" s="1"/>
  <c r="H37" i="1" s="1"/>
  <c r="I37" i="1" s="1"/>
  <c r="D32" i="1"/>
  <c r="D40" i="1" s="1"/>
  <c r="C32" i="1"/>
  <c r="C40" i="1" s="1"/>
  <c r="G31" i="1"/>
  <c r="G18" i="3"/>
  <c r="F18" i="3"/>
  <c r="E27" i="1"/>
  <c r="E23" i="3" s="1"/>
  <c r="D23" i="3"/>
  <c r="F25" i="1"/>
  <c r="G18" i="4" s="1"/>
  <c r="F19" i="3"/>
  <c r="C18" i="1"/>
  <c r="D22" i="3"/>
  <c r="C22" i="3"/>
  <c r="D31" i="2" l="1"/>
  <c r="D37" i="2" s="1"/>
  <c r="D5" i="30"/>
  <c r="G107" i="17"/>
  <c r="D117" i="17"/>
  <c r="L40" i="2"/>
  <c r="L28" i="2"/>
  <c r="L22" i="2"/>
  <c r="L43" i="2"/>
  <c r="L12" i="2"/>
  <c r="L5" i="2"/>
  <c r="L34" i="2"/>
  <c r="L25" i="2"/>
  <c r="L23" i="2"/>
  <c r="L19" i="2"/>
  <c r="L10" i="2"/>
  <c r="L6" i="2"/>
  <c r="L35" i="2"/>
  <c r="L20" i="2"/>
  <c r="L15" i="2"/>
  <c r="L13" i="2"/>
  <c r="L27" i="2"/>
  <c r="L26" i="2"/>
  <c r="L14" i="2"/>
  <c r="L46" i="2"/>
  <c r="L18" i="2"/>
  <c r="L21" i="2"/>
  <c r="L24" i="2"/>
  <c r="L17" i="2"/>
  <c r="L29" i="2"/>
  <c r="L7" i="2"/>
  <c r="L9" i="2"/>
  <c r="L8" i="2"/>
  <c r="E11" i="2"/>
  <c r="H23" i="4"/>
  <c r="F18" i="1"/>
  <c r="C20" i="1"/>
  <c r="C42" i="1" s="1"/>
  <c r="D26" i="3"/>
  <c r="I20" i="3"/>
  <c r="C20" i="3"/>
  <c r="D20" i="3"/>
  <c r="D20" i="1"/>
  <c r="G9" i="3"/>
  <c r="G8" i="4"/>
  <c r="I5" i="13"/>
  <c r="I27" i="13" s="1"/>
  <c r="G19" i="3"/>
  <c r="G20" i="3" s="1"/>
  <c r="G25" i="1"/>
  <c r="H18" i="4" s="1"/>
  <c r="G29" i="1"/>
  <c r="H29" i="4" s="1"/>
  <c r="C23" i="3"/>
  <c r="C21" i="3" s="1"/>
  <c r="D21" i="3"/>
  <c r="E18" i="3"/>
  <c r="E20" i="3" s="1"/>
  <c r="E32" i="1"/>
  <c r="F20" i="3"/>
  <c r="I4" i="3"/>
  <c r="J4" i="4" s="1"/>
  <c r="H31" i="1"/>
  <c r="H9" i="4"/>
  <c r="H27" i="4" s="1"/>
  <c r="I8" i="4"/>
  <c r="H9" i="3"/>
  <c r="O4" i="2"/>
  <c r="P4" i="2"/>
  <c r="H18" i="3"/>
  <c r="H19" i="3"/>
  <c r="J9" i="3"/>
  <c r="J18" i="3"/>
  <c r="J19" i="3"/>
  <c r="K4" i="2"/>
  <c r="C17" i="3"/>
  <c r="C28" i="3" s="1"/>
  <c r="C25" i="3"/>
  <c r="C26" i="3"/>
  <c r="F32" i="1"/>
  <c r="L4" i="2"/>
  <c r="G9" i="4"/>
  <c r="G27" i="4" s="1"/>
  <c r="D5" i="3"/>
  <c r="D17" i="3"/>
  <c r="D28" i="3" s="1"/>
  <c r="D25" i="3"/>
  <c r="M4" i="2"/>
  <c r="N4" i="2"/>
  <c r="D11" i="2"/>
  <c r="D6" i="30" l="1"/>
  <c r="E6" i="30"/>
  <c r="I80" i="13"/>
  <c r="G8" i="1" s="1"/>
  <c r="D7" i="3"/>
  <c r="D8" i="3" s="1"/>
  <c r="D32" i="2"/>
  <c r="D41" i="2"/>
  <c r="D7" i="30"/>
  <c r="D8" i="30" s="1"/>
  <c r="H107" i="17"/>
  <c r="H117" i="17" s="1"/>
  <c r="I14" i="1" s="1"/>
  <c r="G117" i="17"/>
  <c r="I40" i="2" s="1"/>
  <c r="I9" i="30" s="1"/>
  <c r="L31" i="2"/>
  <c r="G18" i="1"/>
  <c r="H20" i="3"/>
  <c r="D42" i="1"/>
  <c r="H5" i="13"/>
  <c r="H27" i="13" s="1"/>
  <c r="K5" i="13"/>
  <c r="K27" i="13" s="1"/>
  <c r="K80" i="13" s="1"/>
  <c r="J5" i="13"/>
  <c r="J27" i="13" s="1"/>
  <c r="G24" i="4"/>
  <c r="C5" i="3"/>
  <c r="C6" i="3" s="1"/>
  <c r="J20" i="3"/>
  <c r="G32" i="1"/>
  <c r="H30" i="4"/>
  <c r="H29" i="1"/>
  <c r="I29" i="4" s="1"/>
  <c r="H24" i="4"/>
  <c r="I9" i="4"/>
  <c r="I27" i="4" s="1"/>
  <c r="I31" i="1"/>
  <c r="H25" i="1"/>
  <c r="I18" i="4" s="1"/>
  <c r="J80" i="13" l="1"/>
  <c r="H8" i="1" s="1"/>
  <c r="I8" i="1"/>
  <c r="H80" i="13"/>
  <c r="F8" i="1" s="1"/>
  <c r="D44" i="2"/>
  <c r="D12" i="30" s="1"/>
  <c r="D13" i="30" s="1"/>
  <c r="D10" i="30"/>
  <c r="I23" i="4"/>
  <c r="I24" i="4" s="1"/>
  <c r="E10" i="20"/>
  <c r="J8" i="4"/>
  <c r="I9" i="3"/>
  <c r="L37" i="2"/>
  <c r="D38" i="2"/>
  <c r="H18" i="1"/>
  <c r="J9" i="4"/>
  <c r="J27" i="4" s="1"/>
  <c r="E5" i="3"/>
  <c r="E6" i="3" s="1"/>
  <c r="I25" i="1"/>
  <c r="J18" i="4" s="1"/>
  <c r="J5" i="3"/>
  <c r="I30" i="4"/>
  <c r="I29" i="1"/>
  <c r="J29" i="4" s="1"/>
  <c r="H32" i="1"/>
  <c r="D6" i="3"/>
  <c r="D11" i="30" l="1"/>
  <c r="I18" i="1"/>
  <c r="J23" i="4"/>
  <c r="J24" i="4" s="1"/>
  <c r="L41" i="2"/>
  <c r="D10" i="3"/>
  <c r="D42" i="2"/>
  <c r="J7" i="3"/>
  <c r="J8" i="3" s="1"/>
  <c r="J10" i="3"/>
  <c r="J30" i="4"/>
  <c r="I32" i="1"/>
  <c r="L44" i="2" l="1"/>
  <c r="D49" i="2"/>
  <c r="D45" i="2"/>
  <c r="D12" i="3"/>
  <c r="D13" i="3" s="1"/>
  <c r="D11" i="3"/>
  <c r="D31" i="3"/>
  <c r="J23" i="3"/>
  <c r="J12" i="3"/>
  <c r="J13" i="3" s="1"/>
  <c r="J11" i="3"/>
  <c r="L49" i="2" l="1"/>
  <c r="D14" i="30"/>
  <c r="D51" i="2"/>
  <c r="E5" i="4"/>
  <c r="E10" i="4" s="1"/>
  <c r="E21" i="4" s="1"/>
  <c r="E32" i="4" s="1"/>
  <c r="E34" i="4" s="1"/>
  <c r="D14" i="3"/>
  <c r="D50" i="2"/>
  <c r="E22" i="3"/>
  <c r="E21" i="3" s="1"/>
  <c r="E20" i="1"/>
  <c r="D15" i="30" l="1"/>
  <c r="D30" i="30"/>
  <c r="D30" i="3"/>
  <c r="D29" i="3"/>
  <c r="D15" i="3"/>
  <c r="J14" i="3"/>
  <c r="J15" i="3" l="1"/>
  <c r="D32" i="9" l="1"/>
  <c r="X55" i="18" l="1"/>
  <c r="E32" i="9"/>
  <c r="AD64" i="18" l="1"/>
  <c r="D4" i="9"/>
  <c r="AE55" i="18"/>
  <c r="F32" i="9"/>
  <c r="E4" i="9" l="1"/>
  <c r="Z55" i="18"/>
  <c r="AK64" i="18"/>
  <c r="AG55" i="18"/>
  <c r="G32" i="9"/>
  <c r="AL55" i="18"/>
  <c r="Y55" i="18" l="1"/>
  <c r="H45" i="22"/>
  <c r="G45" i="22"/>
  <c r="D8" i="15"/>
  <c r="D9" i="15" s="1"/>
  <c r="D11" i="15" s="1"/>
  <c r="F4" i="9"/>
  <c r="AN55" i="18" s="1"/>
  <c r="AR64" i="18"/>
  <c r="AG61" i="18"/>
  <c r="E8" i="15"/>
  <c r="AS55" i="18"/>
  <c r="G48" i="22" l="1"/>
  <c r="G49" i="22" s="1"/>
  <c r="G46" i="22"/>
  <c r="H48" i="22"/>
  <c r="H49" i="22" s="1"/>
  <c r="H46" i="22"/>
  <c r="G4" i="9"/>
  <c r="N23" i="2"/>
  <c r="E9" i="15"/>
  <c r="E11" i="15" s="1"/>
  <c r="G23" i="2" s="1"/>
  <c r="F8" i="15"/>
  <c r="F9" i="15" s="1"/>
  <c r="I45" i="22"/>
  <c r="I46" i="22" s="1"/>
  <c r="AY64" i="18"/>
  <c r="C18" i="19"/>
  <c r="I48" i="22" l="1"/>
  <c r="I49" i="22" s="1"/>
  <c r="F11" i="15"/>
  <c r="H23" i="2" s="1"/>
  <c r="AU55" i="18"/>
  <c r="F31" i="2" l="1"/>
  <c r="F32" i="2" s="1"/>
  <c r="G8" i="15"/>
  <c r="J45" i="22"/>
  <c r="J46" i="22" s="1"/>
  <c r="H4" i="13"/>
  <c r="F37" i="2" l="1"/>
  <c r="N31" i="2"/>
  <c r="H37" i="13"/>
  <c r="H33" i="13" s="1"/>
  <c r="H26" i="13" s="1"/>
  <c r="H25" i="13" s="1"/>
  <c r="H9" i="13"/>
  <c r="J48" i="22"/>
  <c r="J49" i="22" s="1"/>
  <c r="G9" i="15"/>
  <c r="F7" i="30" l="1"/>
  <c r="F8" i="30" s="1"/>
  <c r="H29" i="13"/>
  <c r="H38" i="13"/>
  <c r="G36" i="13" s="1"/>
  <c r="H78" i="13"/>
  <c r="H86" i="13"/>
  <c r="F24" i="1" s="1"/>
  <c r="G17" i="4" s="1"/>
  <c r="H79" i="13"/>
  <c r="F7" i="1" s="1"/>
  <c r="G11" i="15"/>
  <c r="I23" i="2" s="1"/>
  <c r="I4" i="13"/>
  <c r="G8" i="2"/>
  <c r="G10" i="2" l="1"/>
  <c r="O22" i="2" s="1"/>
  <c r="I37" i="13"/>
  <c r="I33" i="13" s="1"/>
  <c r="I26" i="13" s="1"/>
  <c r="I9" i="13"/>
  <c r="F6" i="1"/>
  <c r="G12" i="4" s="1"/>
  <c r="G25" i="2"/>
  <c r="G24" i="2"/>
  <c r="H8" i="2"/>
  <c r="J4" i="13"/>
  <c r="G17" i="2" l="1"/>
  <c r="G29" i="2" s="1"/>
  <c r="O15" i="2"/>
  <c r="I25" i="13"/>
  <c r="G6" i="1" s="1"/>
  <c r="I79" i="13"/>
  <c r="G7" i="1" s="1"/>
  <c r="O26" i="2"/>
  <c r="O14" i="2"/>
  <c r="O25" i="2"/>
  <c r="O27" i="2"/>
  <c r="D48" i="26"/>
  <c r="D49" i="26" s="1"/>
  <c r="C7" i="20"/>
  <c r="O28" i="2"/>
  <c r="G11" i="2"/>
  <c r="O23" i="2"/>
  <c r="O16" i="2"/>
  <c r="G5" i="30"/>
  <c r="G6" i="30" s="1"/>
  <c r="O21" i="2"/>
  <c r="O19" i="2"/>
  <c r="O18" i="2"/>
  <c r="H10" i="2"/>
  <c r="P16" i="2" s="1"/>
  <c r="O20" i="2"/>
  <c r="I38" i="13"/>
  <c r="J37" i="13"/>
  <c r="J33" i="13" s="1"/>
  <c r="J26" i="13" s="1"/>
  <c r="J9" i="13"/>
  <c r="O24" i="2"/>
  <c r="I86" i="13"/>
  <c r="G24" i="1" s="1"/>
  <c r="H17" i="4" s="1"/>
  <c r="H25" i="2"/>
  <c r="H24" i="2"/>
  <c r="K4" i="13"/>
  <c r="I10" i="2"/>
  <c r="F48" i="26" s="1"/>
  <c r="J38" i="13" l="1"/>
  <c r="I35" i="13" s="1"/>
  <c r="I31" i="13"/>
  <c r="I84" i="13" s="1"/>
  <c r="H17" i="2"/>
  <c r="H29" i="2" s="1"/>
  <c r="H5" i="30"/>
  <c r="H6" i="30" s="1"/>
  <c r="J25" i="13"/>
  <c r="J78" i="13" s="1"/>
  <c r="H6" i="1" s="1"/>
  <c r="J79" i="13"/>
  <c r="H7" i="1" s="1"/>
  <c r="H11" i="2"/>
  <c r="D7" i="20"/>
  <c r="E48" i="26"/>
  <c r="H35" i="13"/>
  <c r="K9" i="13"/>
  <c r="K31" i="13" s="1"/>
  <c r="K37" i="13"/>
  <c r="H12" i="4"/>
  <c r="O17" i="2"/>
  <c r="G31" i="2"/>
  <c r="G32" i="2" s="1"/>
  <c r="Q16" i="2"/>
  <c r="J86" i="13"/>
  <c r="H24" i="1" s="1"/>
  <c r="I17" i="4" s="1"/>
  <c r="I29" i="13"/>
  <c r="I82" i="13" s="1"/>
  <c r="G23" i="1" s="1"/>
  <c r="E7" i="20"/>
  <c r="I5" i="30"/>
  <c r="I25" i="2"/>
  <c r="I24" i="2"/>
  <c r="I17" i="2" l="1"/>
  <c r="I29" i="2" s="1"/>
  <c r="I6" i="30"/>
  <c r="K38" i="13"/>
  <c r="K35" i="13" s="1"/>
  <c r="K88" i="13" s="1"/>
  <c r="H88" i="13"/>
  <c r="F10" i="1" s="1"/>
  <c r="C26" i="19" s="1"/>
  <c r="K33" i="13"/>
  <c r="K26" i="13" s="1"/>
  <c r="K79" i="13" s="1"/>
  <c r="I7" i="1" s="1"/>
  <c r="I12" i="4"/>
  <c r="H84" i="13"/>
  <c r="J29" i="13"/>
  <c r="J82" i="13" s="1"/>
  <c r="H23" i="1" s="1"/>
  <c r="K29" i="13"/>
  <c r="K82" i="13" s="1"/>
  <c r="I23" i="1" s="1"/>
  <c r="K25" i="13" l="1"/>
  <c r="K78" i="13" s="1"/>
  <c r="I6" i="1" s="1"/>
  <c r="J35" i="13"/>
  <c r="K39" i="13"/>
  <c r="K86" i="13"/>
  <c r="I24" i="1" s="1"/>
  <c r="J17" i="4" s="1"/>
  <c r="F9" i="1"/>
  <c r="G14" i="4"/>
  <c r="I88" i="13"/>
  <c r="G10" i="1" s="1"/>
  <c r="H14" i="4" s="1"/>
  <c r="J31" i="13"/>
  <c r="S111" i="18"/>
  <c r="I90" i="13" l="1"/>
  <c r="J12" i="4"/>
  <c r="G9" i="1"/>
  <c r="K84" i="13"/>
  <c r="I9" i="1" s="1"/>
  <c r="J88" i="13"/>
  <c r="H10" i="1" s="1"/>
  <c r="I14" i="4" s="1"/>
  <c r="I10" i="1"/>
  <c r="J84" i="13"/>
  <c r="R15" i="18"/>
  <c r="R19" i="18"/>
  <c r="S121" i="18"/>
  <c r="R27" i="18"/>
  <c r="R11" i="18"/>
  <c r="R51" i="18"/>
  <c r="S116" i="18"/>
  <c r="S136" i="18" s="1"/>
  <c r="R47" i="18"/>
  <c r="R43" i="18"/>
  <c r="S123" i="18"/>
  <c r="R35" i="18"/>
  <c r="S120" i="18"/>
  <c r="S103" i="18"/>
  <c r="R31" i="18"/>
  <c r="S122" i="18"/>
  <c r="R39" i="18"/>
  <c r="R23" i="18"/>
  <c r="H9" i="1" l="1"/>
  <c r="I13" i="4" s="1"/>
  <c r="J90" i="13"/>
  <c r="K90" i="13"/>
  <c r="J14" i="4"/>
  <c r="S138" i="18"/>
  <c r="S139" i="18"/>
  <c r="S137" i="18"/>
  <c r="S140" i="18"/>
  <c r="R121" i="18"/>
  <c r="S124" i="18"/>
  <c r="R55" i="18"/>
  <c r="R103" i="18"/>
  <c r="R120" i="18"/>
  <c r="R122" i="18"/>
  <c r="S107" i="18"/>
  <c r="R123" i="18"/>
  <c r="J92" i="13" l="1"/>
  <c r="K92" i="13"/>
  <c r="J13" i="4"/>
  <c r="S147" i="18"/>
  <c r="S141" i="18"/>
  <c r="R111" i="18"/>
  <c r="R116" i="18" s="1"/>
  <c r="Y60" i="18"/>
  <c r="R124" i="18"/>
  <c r="S131" i="18"/>
  <c r="S129" i="18"/>
  <c r="S130" i="18"/>
  <c r="S128" i="18"/>
  <c r="S144" i="18"/>
  <c r="R107" i="18"/>
  <c r="S146" i="18"/>
  <c r="S145" i="18"/>
  <c r="Y51" i="18" l="1"/>
  <c r="Y7" i="18"/>
  <c r="Y43" i="18"/>
  <c r="Y39" i="18"/>
  <c r="R145" i="18"/>
  <c r="R146" i="18"/>
  <c r="Y23" i="18"/>
  <c r="Y31" i="18"/>
  <c r="Y122" i="18" s="1"/>
  <c r="Y19" i="18"/>
  <c r="Y47" i="18"/>
  <c r="Y15" i="18"/>
  <c r="Y11" i="18"/>
  <c r="Y35" i="18"/>
  <c r="Y27" i="18"/>
  <c r="R147" i="18"/>
  <c r="S132" i="18"/>
  <c r="R139" i="18"/>
  <c r="R137" i="18"/>
  <c r="R140" i="18"/>
  <c r="R138" i="18"/>
  <c r="R130" i="18"/>
  <c r="R131" i="18"/>
  <c r="R129" i="18"/>
  <c r="R128" i="18"/>
  <c r="S148" i="18"/>
  <c r="R136" i="18"/>
  <c r="R144" i="18"/>
  <c r="Y123" i="18" l="1"/>
  <c r="Y120" i="18"/>
  <c r="Y121" i="18"/>
  <c r="R132" i="18"/>
  <c r="R148" i="18"/>
  <c r="Y62" i="18"/>
  <c r="R141" i="18"/>
  <c r="Y124" i="18" l="1"/>
  <c r="Y147" i="18"/>
  <c r="Z61" i="18"/>
  <c r="Z111" i="18"/>
  <c r="X111" i="18"/>
  <c r="Y144" i="18" l="1"/>
  <c r="Y146" i="18"/>
  <c r="Y145" i="18"/>
  <c r="Z47" i="18"/>
  <c r="AG47" i="18" s="1"/>
  <c r="Z15" i="18"/>
  <c r="AG15" i="18" s="1"/>
  <c r="Z39" i="18"/>
  <c r="AG39" i="18" s="1"/>
  <c r="Z43" i="18"/>
  <c r="Z11" i="18"/>
  <c r="AG11" i="18" s="1"/>
  <c r="Z7" i="18"/>
  <c r="Z35" i="18"/>
  <c r="AG35" i="18" s="1"/>
  <c r="Z31" i="18"/>
  <c r="Z27" i="18"/>
  <c r="AG27" i="18" s="1"/>
  <c r="Z23" i="18"/>
  <c r="AG23" i="18" s="1"/>
  <c r="Z51" i="18"/>
  <c r="Z19" i="18"/>
  <c r="AG111" i="18"/>
  <c r="AF55" i="18"/>
  <c r="AE111" i="18"/>
  <c r="X116" i="18"/>
  <c r="X136" i="18" s="1"/>
  <c r="Y111" i="18"/>
  <c r="Z116" i="18"/>
  <c r="AG43" i="18" l="1"/>
  <c r="Z123" i="18"/>
  <c r="AG19" i="18"/>
  <c r="AG121" i="18" s="1"/>
  <c r="Z121" i="18"/>
  <c r="AG31" i="18"/>
  <c r="AG122" i="18" s="1"/>
  <c r="Z122" i="18"/>
  <c r="AG7" i="18"/>
  <c r="AG120" i="18" s="1"/>
  <c r="Z120" i="18"/>
  <c r="Y148" i="18"/>
  <c r="AF60" i="18"/>
  <c r="AG51" i="18"/>
  <c r="X51" i="18"/>
  <c r="AF39" i="18"/>
  <c r="AF31" i="18"/>
  <c r="AF122" i="18" s="1"/>
  <c r="AF11" i="18"/>
  <c r="AF43" i="18"/>
  <c r="AF123" i="18" s="1"/>
  <c r="AF47" i="18"/>
  <c r="AF7" i="18"/>
  <c r="AF27" i="18"/>
  <c r="AF51" i="18"/>
  <c r="AF15" i="18"/>
  <c r="AF23" i="18"/>
  <c r="AF19" i="18"/>
  <c r="AF121" i="18" s="1"/>
  <c r="AF35" i="18"/>
  <c r="AL111" i="18"/>
  <c r="Z140" i="18"/>
  <c r="Z137" i="18"/>
  <c r="Z138" i="18"/>
  <c r="Z139" i="18"/>
  <c r="AE116" i="18"/>
  <c r="AE136" i="18" s="1"/>
  <c r="Z136" i="18"/>
  <c r="AF111" i="18"/>
  <c r="AS111" i="18"/>
  <c r="AT55" i="18"/>
  <c r="X140" i="18"/>
  <c r="X139" i="18"/>
  <c r="X137" i="18"/>
  <c r="X138" i="18"/>
  <c r="Z62" i="18"/>
  <c r="Y116" i="18"/>
  <c r="Y136" i="18" s="1"/>
  <c r="AG116" i="18"/>
  <c r="AG136" i="18" s="1"/>
  <c r="AF120" i="18" l="1"/>
  <c r="Z147" i="18"/>
  <c r="Z124" i="18"/>
  <c r="Z145" i="18" s="1"/>
  <c r="AG123" i="18"/>
  <c r="AG124" i="18" s="1"/>
  <c r="AE51" i="18"/>
  <c r="Z141" i="18"/>
  <c r="X141" i="18"/>
  <c r="X23" i="18"/>
  <c r="X19" i="18"/>
  <c r="X11" i="18"/>
  <c r="Y139" i="18"/>
  <c r="Y140" i="18"/>
  <c r="Y137" i="18"/>
  <c r="Y138" i="18"/>
  <c r="X15" i="18"/>
  <c r="X7" i="18"/>
  <c r="X120" i="18" s="1"/>
  <c r="X35" i="18"/>
  <c r="AN111" i="18"/>
  <c r="AN61" i="18"/>
  <c r="X31" i="18"/>
  <c r="AE139" i="18"/>
  <c r="AE140" i="18"/>
  <c r="AE138" i="18"/>
  <c r="AE137" i="18"/>
  <c r="AL116" i="18"/>
  <c r="AL136" i="18" s="1"/>
  <c r="AG62" i="18"/>
  <c r="AS116" i="18"/>
  <c r="AS136" i="18" s="1"/>
  <c r="AM55" i="18"/>
  <c r="AU61" i="18"/>
  <c r="AU111" i="18"/>
  <c r="X47" i="18"/>
  <c r="X27" i="18"/>
  <c r="AG139" i="18"/>
  <c r="AG137" i="18"/>
  <c r="AG140" i="18"/>
  <c r="AG138" i="18"/>
  <c r="X43" i="18"/>
  <c r="X39" i="18"/>
  <c r="AF116" i="18"/>
  <c r="AG147" i="18" l="1"/>
  <c r="AG146" i="18"/>
  <c r="AG144" i="18"/>
  <c r="AG145" i="18"/>
  <c r="X123" i="18"/>
  <c r="AF124" i="18"/>
  <c r="AF144" i="18" s="1"/>
  <c r="X122" i="18"/>
  <c r="Z144" i="18"/>
  <c r="X121" i="18"/>
  <c r="Z146" i="18"/>
  <c r="AG141" i="18"/>
  <c r="AN35" i="18"/>
  <c r="AU35" i="18" s="1"/>
  <c r="AN23" i="18"/>
  <c r="AU23" i="18" s="1"/>
  <c r="AN27" i="18"/>
  <c r="AU27" i="18" s="1"/>
  <c r="AN7" i="18"/>
  <c r="AN11" i="18"/>
  <c r="AU11" i="18" s="1"/>
  <c r="AN19" i="18"/>
  <c r="AN43" i="18"/>
  <c r="AN31" i="18"/>
  <c r="AN15" i="18"/>
  <c r="AU15" i="18" s="1"/>
  <c r="AN39" i="18"/>
  <c r="AU39" i="18" s="1"/>
  <c r="AN51" i="18"/>
  <c r="AU51" i="18" s="1"/>
  <c r="AN47" i="18"/>
  <c r="AU47" i="18" s="1"/>
  <c r="AE141" i="18"/>
  <c r="Y141" i="18"/>
  <c r="AF62" i="18"/>
  <c r="AF139" i="18"/>
  <c r="AF140" i="18"/>
  <c r="AF138" i="18"/>
  <c r="AF137" i="18"/>
  <c r="AE15" i="18"/>
  <c r="AE39" i="18"/>
  <c r="AL137" i="18"/>
  <c r="AL138" i="18"/>
  <c r="AL139" i="18"/>
  <c r="AL140" i="18"/>
  <c r="AN116" i="18"/>
  <c r="AM60" i="18"/>
  <c r="AM111" i="18"/>
  <c r="AE47" i="18"/>
  <c r="AS139" i="18"/>
  <c r="AS140" i="18"/>
  <c r="AS137" i="18"/>
  <c r="AS138" i="18"/>
  <c r="AE11" i="18"/>
  <c r="AT60" i="18"/>
  <c r="AE23" i="18"/>
  <c r="AE31" i="18"/>
  <c r="AE7" i="18"/>
  <c r="AE27" i="18"/>
  <c r="AE35" i="18"/>
  <c r="AE43" i="18"/>
  <c r="AU116" i="18"/>
  <c r="AU136" i="18" s="1"/>
  <c r="AF136" i="18"/>
  <c r="AE19" i="18"/>
  <c r="AE123" i="18" l="1"/>
  <c r="AU43" i="18"/>
  <c r="AU123" i="18" s="1"/>
  <c r="AN123" i="18"/>
  <c r="AN147" i="18" s="1"/>
  <c r="AE120" i="18"/>
  <c r="AU31" i="18"/>
  <c r="AU122" i="18" s="1"/>
  <c r="AN122" i="18"/>
  <c r="AN146" i="18" s="1"/>
  <c r="AE122" i="18"/>
  <c r="AG148" i="18"/>
  <c r="AU19" i="18"/>
  <c r="AU121" i="18" s="1"/>
  <c r="AN121" i="18"/>
  <c r="AN145" i="18" s="1"/>
  <c r="AU7" i="18"/>
  <c r="AU120" i="18" s="1"/>
  <c r="AN120" i="18"/>
  <c r="AN144" i="18" s="1"/>
  <c r="AN148" i="18" s="1"/>
  <c r="X124" i="18"/>
  <c r="X147" i="18" s="1"/>
  <c r="AF145" i="18"/>
  <c r="AF147" i="18"/>
  <c r="AF146" i="18"/>
  <c r="AE121" i="18"/>
  <c r="Z148" i="18"/>
  <c r="AF141" i="18"/>
  <c r="AS141" i="18"/>
  <c r="AL141" i="18"/>
  <c r="AM15" i="18"/>
  <c r="AT15" i="18" s="1"/>
  <c r="AM43" i="18"/>
  <c r="AM39" i="18"/>
  <c r="AT39" i="18" s="1"/>
  <c r="AM19" i="18"/>
  <c r="AM47" i="18"/>
  <c r="AT47" i="18" s="1"/>
  <c r="AS47" i="18" s="1"/>
  <c r="AM27" i="18"/>
  <c r="AT27" i="18" s="1"/>
  <c r="AS27" i="18" s="1"/>
  <c r="AM11" i="18"/>
  <c r="AT11" i="18" s="1"/>
  <c r="AS11" i="18" s="1"/>
  <c r="AM7" i="18"/>
  <c r="AM23" i="18"/>
  <c r="AT23" i="18" s="1"/>
  <c r="AS23" i="18" s="1"/>
  <c r="AM51" i="18"/>
  <c r="AT51" i="18" s="1"/>
  <c r="AS51" i="18" s="1"/>
  <c r="AM31" i="18"/>
  <c r="AM35" i="18"/>
  <c r="AT35" i="18" s="1"/>
  <c r="AN62" i="18"/>
  <c r="AM116" i="18"/>
  <c r="AM136" i="18" s="1"/>
  <c r="AU139" i="18"/>
  <c r="AU138" i="18"/>
  <c r="AU137" i="18"/>
  <c r="AU140" i="18"/>
  <c r="AN140" i="18"/>
  <c r="AN138" i="18"/>
  <c r="AN139" i="18"/>
  <c r="AN137" i="18"/>
  <c r="AN136" i="18"/>
  <c r="AF148" i="18" l="1"/>
  <c r="X145" i="18"/>
  <c r="AE124" i="18"/>
  <c r="AE147" i="18" s="1"/>
  <c r="X146" i="18"/>
  <c r="X144" i="18"/>
  <c r="X148" i="18" s="1"/>
  <c r="AU145" i="18"/>
  <c r="AU144" i="18"/>
  <c r="AT19" i="18"/>
  <c r="AT121" i="18" s="1"/>
  <c r="AM121" i="18"/>
  <c r="AT31" i="18"/>
  <c r="AM122" i="18"/>
  <c r="AU146" i="18"/>
  <c r="AT43" i="18"/>
  <c r="AM123" i="18"/>
  <c r="AE146" i="18"/>
  <c r="AT7" i="18"/>
  <c r="AT120" i="18" s="1"/>
  <c r="AM120" i="18"/>
  <c r="AL7" i="18"/>
  <c r="AL11" i="18"/>
  <c r="AL43" i="18"/>
  <c r="AL23" i="18"/>
  <c r="AU141" i="18"/>
  <c r="AL51" i="18"/>
  <c r="AL47" i="18"/>
  <c r="AL31" i="18"/>
  <c r="AL27" i="18"/>
  <c r="AN141" i="18"/>
  <c r="AL39" i="18"/>
  <c r="AS39" i="18"/>
  <c r="AU62" i="18"/>
  <c r="AS15" i="18"/>
  <c r="AL15" i="18"/>
  <c r="AM62" i="18"/>
  <c r="AL19" i="18"/>
  <c r="AM137" i="18"/>
  <c r="AM138" i="18"/>
  <c r="AM139" i="18"/>
  <c r="AM140" i="18"/>
  <c r="AL35" i="18"/>
  <c r="AS35" i="18"/>
  <c r="AL123" i="18" l="1"/>
  <c r="AM146" i="18"/>
  <c r="AM147" i="18"/>
  <c r="AS7" i="18"/>
  <c r="AS120" i="18" s="1"/>
  <c r="AL120" i="18"/>
  <c r="AL122" i="18"/>
  <c r="AM144" i="18"/>
  <c r="AM148" i="18" s="1"/>
  <c r="AM124" i="18"/>
  <c r="AM145" i="18"/>
  <c r="AS19" i="18"/>
  <c r="AS121" i="18" s="1"/>
  <c r="AL121" i="18"/>
  <c r="AU147" i="18"/>
  <c r="AU148" i="18" s="1"/>
  <c r="AS31" i="18"/>
  <c r="AS122" i="18" s="1"/>
  <c r="AT122" i="18"/>
  <c r="AT124" i="18" s="1"/>
  <c r="AS43" i="18"/>
  <c r="AS123" i="18" s="1"/>
  <c r="AT123" i="18"/>
  <c r="AE145" i="18"/>
  <c r="AE144" i="18"/>
  <c r="AE148" i="18" s="1"/>
  <c r="AM141" i="18"/>
  <c r="AT62" i="18"/>
  <c r="AL124" i="18" l="1"/>
  <c r="AL144" i="18" s="1"/>
  <c r="AL145" i="18"/>
  <c r="AS124" i="18"/>
  <c r="AS144" i="18" s="1"/>
  <c r="AL146" i="18"/>
  <c r="AL147" i="18"/>
  <c r="AS147" i="18"/>
  <c r="AS146" i="18"/>
  <c r="P29" i="2"/>
  <c r="E49" i="26"/>
  <c r="F49" i="26"/>
  <c r="P10" i="2"/>
  <c r="P35" i="2"/>
  <c r="P26" i="2"/>
  <c r="P20" i="2"/>
  <c r="P7" i="2"/>
  <c r="P27" i="2"/>
  <c r="P43" i="2"/>
  <c r="P9" i="2"/>
  <c r="P34" i="2"/>
  <c r="P19" i="2"/>
  <c r="P24" i="2"/>
  <c r="P21" i="2"/>
  <c r="P18" i="2"/>
  <c r="P22" i="2"/>
  <c r="P6" i="2"/>
  <c r="P5" i="2"/>
  <c r="P40" i="2"/>
  <c r="P15" i="2"/>
  <c r="P23" i="2"/>
  <c r="P8" i="2"/>
  <c r="P14" i="2"/>
  <c r="P25" i="2"/>
  <c r="P28" i="2"/>
  <c r="O34" i="2"/>
  <c r="O10" i="2"/>
  <c r="O35" i="2"/>
  <c r="O7" i="2"/>
  <c r="O9" i="2"/>
  <c r="O43" i="2"/>
  <c r="O6" i="2"/>
  <c r="O5" i="2"/>
  <c r="O40" i="2"/>
  <c r="O8" i="2"/>
  <c r="Q35" i="2"/>
  <c r="Q26" i="2"/>
  <c r="Q7" i="2"/>
  <c r="Q21" i="2"/>
  <c r="Q43" i="2"/>
  <c r="Q9" i="2"/>
  <c r="Q34" i="2"/>
  <c r="Q19" i="2"/>
  <c r="Q10" i="2"/>
  <c r="Q18" i="2"/>
  <c r="Q27" i="2"/>
  <c r="Q20" i="2"/>
  <c r="Q24" i="2"/>
  <c r="Q22" i="2"/>
  <c r="Q6" i="2"/>
  <c r="Q5" i="2"/>
  <c r="Q40" i="2"/>
  <c r="Q15" i="2"/>
  <c r="Q23" i="2"/>
  <c r="Q8" i="2"/>
  <c r="Q28" i="2"/>
  <c r="Q25" i="2"/>
  <c r="Q14" i="2"/>
  <c r="G5" i="3"/>
  <c r="I11" i="2"/>
  <c r="I5" i="3"/>
  <c r="F5" i="3"/>
  <c r="H5" i="3"/>
  <c r="AL148" i="18" l="1"/>
  <c r="AS145" i="18"/>
  <c r="AS148" i="18" s="1"/>
  <c r="Q29" i="2"/>
  <c r="I31" i="2"/>
  <c r="I32" i="2" s="1"/>
  <c r="O29" i="2"/>
  <c r="P17" i="2"/>
  <c r="H31" i="2"/>
  <c r="H32" i="2" s="1"/>
  <c r="Q17" i="2"/>
  <c r="H6" i="3"/>
  <c r="J6" i="3"/>
  <c r="I6" i="3"/>
  <c r="F6" i="3"/>
  <c r="G6" i="3"/>
  <c r="Q31" i="2" l="1"/>
  <c r="P31" i="2"/>
  <c r="O31" i="2"/>
  <c r="J22" i="3"/>
  <c r="J21" i="3" s="1"/>
  <c r="J17" i="3"/>
  <c r="J29" i="3" l="1"/>
  <c r="J28" i="3"/>
  <c r="I27" i="1" l="1"/>
  <c r="I23" i="3" l="1"/>
  <c r="I23" i="30"/>
  <c r="I37" i="2"/>
  <c r="H37" i="2"/>
  <c r="H7" i="3"/>
  <c r="H8" i="3" s="1"/>
  <c r="J16" i="4"/>
  <c r="I7" i="3"/>
  <c r="I8" i="3" s="1"/>
  <c r="H27" i="1"/>
  <c r="H23" i="3" l="1"/>
  <c r="H23" i="30"/>
  <c r="P37" i="2"/>
  <c r="H7" i="30"/>
  <c r="H8" i="30" s="1"/>
  <c r="Q37" i="2"/>
  <c r="I7" i="30"/>
  <c r="I8" i="30" s="1"/>
  <c r="I41" i="2"/>
  <c r="I10" i="30" s="1"/>
  <c r="H41" i="2"/>
  <c r="I38" i="2"/>
  <c r="H38" i="2"/>
  <c r="I11" i="30" l="1"/>
  <c r="H10" i="3"/>
  <c r="H11" i="3" s="1"/>
  <c r="H10" i="30"/>
  <c r="H44" i="2"/>
  <c r="P41" i="2"/>
  <c r="I10" i="3"/>
  <c r="I11" i="3" s="1"/>
  <c r="Q41" i="2"/>
  <c r="H42" i="2"/>
  <c r="I44" i="2"/>
  <c r="I12" i="30" s="1"/>
  <c r="I13" i="30" s="1"/>
  <c r="I42" i="2"/>
  <c r="H11" i="30" l="1"/>
  <c r="D9" i="20"/>
  <c r="D15" i="20" s="1"/>
  <c r="D25" i="20" s="1"/>
  <c r="H12" i="30"/>
  <c r="H13" i="30" s="1"/>
  <c r="J32" i="3"/>
  <c r="P44" i="2"/>
  <c r="H12" i="3"/>
  <c r="H13" i="3" s="1"/>
  <c r="I32" i="3"/>
  <c r="H45" i="2"/>
  <c r="E9" i="20"/>
  <c r="E15" i="20" s="1"/>
  <c r="E25" i="20" s="1"/>
  <c r="Q44" i="2"/>
  <c r="I12" i="3"/>
  <c r="I13" i="3" s="1"/>
  <c r="I45" i="2"/>
  <c r="D19" i="20" l="1"/>
  <c r="E19" i="20"/>
  <c r="H82" i="13"/>
  <c r="H90" i="13" s="1"/>
  <c r="G13" i="4"/>
  <c r="H13" i="4"/>
  <c r="I92" i="13" l="1"/>
  <c r="F23" i="1"/>
  <c r="G16" i="4" s="1"/>
  <c r="I16" i="4"/>
  <c r="F27" i="1" l="1"/>
  <c r="F23" i="3" s="1"/>
  <c r="G37" i="2"/>
  <c r="H16" i="4"/>
  <c r="G7" i="3"/>
  <c r="G8" i="3" s="1"/>
  <c r="G27" i="1"/>
  <c r="F23" i="30" l="1"/>
  <c r="G23" i="3"/>
  <c r="G23" i="30"/>
  <c r="O37" i="2"/>
  <c r="G7" i="30"/>
  <c r="G8" i="30" s="1"/>
  <c r="G38" i="2"/>
  <c r="G41" i="2"/>
  <c r="G10" i="30" s="1"/>
  <c r="G11" i="30" l="1"/>
  <c r="G44" i="2"/>
  <c r="O41" i="2"/>
  <c r="G10" i="3"/>
  <c r="G11" i="3" s="1"/>
  <c r="G42" i="2"/>
  <c r="O44" i="2" l="1"/>
  <c r="G12" i="30"/>
  <c r="G13" i="30" s="1"/>
  <c r="G45" i="2"/>
  <c r="G12" i="3"/>
  <c r="G13" i="3" s="1"/>
  <c r="C9" i="20"/>
  <c r="C15" i="20" s="1"/>
  <c r="C25" i="20" s="1"/>
  <c r="H32" i="3"/>
  <c r="C19" i="20" l="1"/>
  <c r="E31" i="2" l="1"/>
  <c r="M29" i="2"/>
  <c r="E37" i="2" l="1"/>
  <c r="E7" i="30" s="1"/>
  <c r="E8" i="30" s="1"/>
  <c r="E7" i="3"/>
  <c r="E8" i="3" s="1"/>
  <c r="M31" i="2"/>
  <c r="E32" i="2"/>
  <c r="M37" i="2" l="1"/>
  <c r="E38" i="2"/>
  <c r="E41" i="2"/>
  <c r="E10" i="30" s="1"/>
  <c r="E11" i="30" l="1"/>
  <c r="M41" i="2"/>
  <c r="E44" i="2"/>
  <c r="E10" i="3"/>
  <c r="E42" i="2"/>
  <c r="M44" i="2" l="1"/>
  <c r="E12" i="30"/>
  <c r="E13" i="30" s="1"/>
  <c r="E32" i="3"/>
  <c r="E11" i="3"/>
  <c r="E45" i="2"/>
  <c r="E49" i="2"/>
  <c r="E12" i="3"/>
  <c r="E13" i="3" s="1"/>
  <c r="E51" i="2" l="1"/>
  <c r="E14" i="30"/>
  <c r="E15" i="30" s="1"/>
  <c r="M49" i="2"/>
  <c r="E14" i="3"/>
  <c r="E15" i="3" s="1"/>
  <c r="E36" i="1"/>
  <c r="F35" i="1" s="1"/>
  <c r="F5" i="4"/>
  <c r="F10" i="4" s="1"/>
  <c r="E50" i="2"/>
  <c r="F21" i="4" l="1"/>
  <c r="F32" i="4" s="1"/>
  <c r="F34" i="4" s="1"/>
  <c r="E17" i="30" l="1"/>
  <c r="E27" i="30"/>
  <c r="E26" i="30"/>
  <c r="E30" i="30" s="1"/>
  <c r="F35" i="4"/>
  <c r="G33" i="4"/>
  <c r="E25" i="3"/>
  <c r="E30" i="3" s="1"/>
  <c r="E17" i="3"/>
  <c r="E40" i="1"/>
  <c r="E42" i="1" s="1"/>
  <c r="E26" i="3"/>
  <c r="E31" i="3" s="1"/>
  <c r="E28" i="3" l="1"/>
  <c r="E29" i="3"/>
  <c r="N29" i="2"/>
  <c r="F41" i="2" l="1"/>
  <c r="N37" i="2"/>
  <c r="F7" i="3"/>
  <c r="F8" i="3" s="1"/>
  <c r="F38" i="2"/>
  <c r="N41" i="2" l="1"/>
  <c r="F10" i="30"/>
  <c r="F11" i="30" s="1"/>
  <c r="F42" i="2"/>
  <c r="F10" i="3"/>
  <c r="G32" i="3" s="1"/>
  <c r="F44" i="2"/>
  <c r="N44" i="2" l="1"/>
  <c r="F12" i="30"/>
  <c r="F13" i="30" s="1"/>
  <c r="F32" i="3"/>
  <c r="B9" i="20"/>
  <c r="B15" i="20" s="1"/>
  <c r="B25" i="20" s="1"/>
  <c r="F45" i="2"/>
  <c r="F12" i="3"/>
  <c r="F13" i="3" s="1"/>
  <c r="F11" i="3"/>
  <c r="B19" i="20" l="1"/>
  <c r="B29" i="20"/>
  <c r="B31" i="20" s="1"/>
  <c r="B20" i="20" l="1"/>
  <c r="B23" i="20" s="1"/>
  <c r="B27" i="20" l="1"/>
  <c r="B21" i="20"/>
  <c r="C18" i="20" s="1"/>
  <c r="C20" i="20" s="1"/>
  <c r="C23" i="20" s="1"/>
  <c r="F46" i="2" l="1"/>
  <c r="G20" i="4" s="1"/>
  <c r="B32" i="20"/>
  <c r="C27" i="20"/>
  <c r="C21" i="20"/>
  <c r="D18" i="20" s="1"/>
  <c r="G46" i="2" l="1"/>
  <c r="O46" i="2" s="1"/>
  <c r="C32" i="20"/>
  <c r="N46" i="2"/>
  <c r="G7" i="4"/>
  <c r="F49" i="2"/>
  <c r="F50" i="2" s="1"/>
  <c r="D20" i="20"/>
  <c r="D23" i="20" s="1"/>
  <c r="H7" i="4" l="1"/>
  <c r="N49" i="2"/>
  <c r="F36" i="1"/>
  <c r="G35" i="1" s="1"/>
  <c r="F14" i="3"/>
  <c r="F15" i="3" s="1"/>
  <c r="H20" i="4"/>
  <c r="G49" i="2"/>
  <c r="O49" i="2" s="1"/>
  <c r="G5" i="4"/>
  <c r="G10" i="4" s="1"/>
  <c r="G21" i="4" s="1"/>
  <c r="F14" i="30"/>
  <c r="F15" i="30" s="1"/>
  <c r="D27" i="20"/>
  <c r="D21" i="20"/>
  <c r="E18" i="20" s="1"/>
  <c r="G36" i="1" l="1"/>
  <c r="H35" i="1" s="1"/>
  <c r="F38" i="1"/>
  <c r="F26" i="3" s="1"/>
  <c r="F31" i="3" s="1"/>
  <c r="H5" i="4"/>
  <c r="H10" i="4" s="1"/>
  <c r="H21" i="4" s="1"/>
  <c r="H32" i="4" s="1"/>
  <c r="G14" i="3"/>
  <c r="G15" i="3" s="1"/>
  <c r="G50" i="2"/>
  <c r="G14" i="30"/>
  <c r="G15" i="30" s="1"/>
  <c r="G32" i="4"/>
  <c r="G34" i="4" s="1"/>
  <c r="H33" i="4" s="1"/>
  <c r="H46" i="2"/>
  <c r="P46" i="2" s="1"/>
  <c r="D32" i="20"/>
  <c r="E20" i="20"/>
  <c r="E23" i="20" s="1"/>
  <c r="F17" i="3" l="1"/>
  <c r="F28" i="3" s="1"/>
  <c r="G38" i="1"/>
  <c r="G17" i="3" s="1"/>
  <c r="G29" i="3" s="1"/>
  <c r="F17" i="30"/>
  <c r="F25" i="3"/>
  <c r="F30" i="3" s="1"/>
  <c r="F40" i="1"/>
  <c r="F5" i="1"/>
  <c r="F27" i="30" s="1"/>
  <c r="H34" i="4"/>
  <c r="I33" i="4" s="1"/>
  <c r="I7" i="4"/>
  <c r="H49" i="2"/>
  <c r="H14" i="3" s="1"/>
  <c r="H15" i="3" s="1"/>
  <c r="I20" i="4"/>
  <c r="E27" i="20"/>
  <c r="E21" i="20"/>
  <c r="C29" i="2"/>
  <c r="F29" i="3" l="1"/>
  <c r="G40" i="1"/>
  <c r="H50" i="2"/>
  <c r="I5" i="4"/>
  <c r="I10" i="4" s="1"/>
  <c r="I21" i="4" s="1"/>
  <c r="G17" i="30"/>
  <c r="G26" i="3"/>
  <c r="G31" i="3" s="1"/>
  <c r="G25" i="3"/>
  <c r="G30" i="3" s="1"/>
  <c r="P49" i="2"/>
  <c r="H36" i="1"/>
  <c r="I35" i="1" s="1"/>
  <c r="H14" i="30"/>
  <c r="H15" i="30" s="1"/>
  <c r="F12" i="1"/>
  <c r="F20" i="1" s="1"/>
  <c r="F28" i="30"/>
  <c r="F26" i="30" s="1"/>
  <c r="F30" i="30" s="1"/>
  <c r="G5" i="1"/>
  <c r="G28" i="30" s="1"/>
  <c r="I46" i="2"/>
  <c r="I49" i="2" s="1"/>
  <c r="I36" i="1" s="1"/>
  <c r="E32" i="20"/>
  <c r="G28" i="3"/>
  <c r="K29" i="2"/>
  <c r="C31" i="2"/>
  <c r="K31" i="2" s="1"/>
  <c r="H38" i="1" l="1"/>
  <c r="H17" i="3" s="1"/>
  <c r="H29" i="3" s="1"/>
  <c r="J7" i="4"/>
  <c r="Q46" i="2"/>
  <c r="I38" i="1"/>
  <c r="I40" i="1" s="1"/>
  <c r="J20" i="4"/>
  <c r="G26" i="30"/>
  <c r="G30" i="30" s="1"/>
  <c r="F22" i="3"/>
  <c r="F21" i="3" s="1"/>
  <c r="F22" i="30"/>
  <c r="F24" i="30" s="1"/>
  <c r="G12" i="1"/>
  <c r="G22" i="30" s="1"/>
  <c r="G24" i="30" s="1"/>
  <c r="G27" i="30"/>
  <c r="I32" i="4"/>
  <c r="I34" i="4" s="1"/>
  <c r="H5" i="1" s="1"/>
  <c r="H12" i="1" s="1"/>
  <c r="J5" i="4"/>
  <c r="I50" i="2"/>
  <c r="Q49" i="2"/>
  <c r="I14" i="30"/>
  <c r="I14" i="3"/>
  <c r="I15" i="3" s="1"/>
  <c r="C7" i="3"/>
  <c r="C8" i="3" s="1"/>
  <c r="C32" i="2"/>
  <c r="C37" i="2"/>
  <c r="H26" i="3" l="1"/>
  <c r="H31" i="3" s="1"/>
  <c r="H17" i="30"/>
  <c r="H40" i="1"/>
  <c r="H25" i="3"/>
  <c r="H30" i="3" s="1"/>
  <c r="I17" i="30"/>
  <c r="J10" i="4"/>
  <c r="J21" i="4" s="1"/>
  <c r="J32" i="4" s="1"/>
  <c r="I26" i="3"/>
  <c r="I31" i="3" s="1"/>
  <c r="I17" i="3"/>
  <c r="I28" i="3" s="1"/>
  <c r="I25" i="3"/>
  <c r="I30" i="3" s="1"/>
  <c r="J25" i="3"/>
  <c r="J30" i="3" s="1"/>
  <c r="J26" i="3"/>
  <c r="J31" i="3" s="1"/>
  <c r="J33" i="4"/>
  <c r="H27" i="30"/>
  <c r="H28" i="30"/>
  <c r="H22" i="30" s="1"/>
  <c r="H24" i="30" s="1"/>
  <c r="G22" i="3"/>
  <c r="G21" i="3" s="1"/>
  <c r="G20" i="1"/>
  <c r="G42" i="1" s="1"/>
  <c r="H28" i="3"/>
  <c r="I15" i="30"/>
  <c r="H22" i="3"/>
  <c r="H21" i="3" s="1"/>
  <c r="H20" i="1"/>
  <c r="K37" i="2"/>
  <c r="C7" i="30"/>
  <c r="C8" i="30" s="1"/>
  <c r="C38" i="2"/>
  <c r="C41" i="2"/>
  <c r="H42" i="1" l="1"/>
  <c r="H26" i="30"/>
  <c r="H30" i="30" s="1"/>
  <c r="I29" i="3"/>
  <c r="J34" i="4"/>
  <c r="I5" i="1" s="1"/>
  <c r="I27" i="30" s="1"/>
  <c r="K41" i="2"/>
  <c r="C10" i="30"/>
  <c r="C11" i="30" s="1"/>
  <c r="C10" i="3"/>
  <c r="D32" i="3" s="1"/>
  <c r="C42" i="2"/>
  <c r="C44" i="2"/>
  <c r="C45" i="2" s="1"/>
  <c r="I12" i="1" l="1"/>
  <c r="I22" i="3" s="1"/>
  <c r="I21" i="3" s="1"/>
  <c r="I28" i="30"/>
  <c r="I26" i="30" s="1"/>
  <c r="I30" i="30" s="1"/>
  <c r="C11" i="3"/>
  <c r="C31" i="3"/>
  <c r="K44" i="2"/>
  <c r="C12" i="30"/>
  <c r="C13" i="30" s="1"/>
  <c r="C49" i="2"/>
  <c r="C14" i="3" s="1"/>
  <c r="C12" i="3"/>
  <c r="C13" i="3" s="1"/>
  <c r="C50" i="2"/>
  <c r="C51" i="2"/>
  <c r="I22" i="30" l="1"/>
  <c r="I24" i="30" s="1"/>
  <c r="I20" i="1"/>
  <c r="I42" i="1" s="1"/>
  <c r="K49" i="2"/>
  <c r="C14" i="30"/>
  <c r="C15" i="30" s="1"/>
  <c r="C29" i="3"/>
  <c r="C15" i="3"/>
  <c r="C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Archita Bansal</author>
    <author>Anirudh Shrivastava</author>
  </authors>
  <commentList>
    <comment ref="A25" authorId="0" shapeId="0" xr:uid="{F0D30632-D2CC-485E-B2B2-311177156EC2}">
      <text>
        <r>
          <rPr>
            <b/>
            <sz val="9"/>
            <color indexed="81"/>
            <rFont val="Tahoma"/>
            <family val="2"/>
          </rPr>
          <t>Archita Bansal:</t>
        </r>
        <r>
          <rPr>
            <sz val="9"/>
            <color indexed="81"/>
            <rFont val="Tahoma"/>
            <family val="2"/>
          </rPr>
          <t xml:space="preserve">
FY 24 - It does not include loss on shares which has been seperately considered under other income amounting to INR 33 lacs.</t>
        </r>
      </text>
    </comment>
    <comment ref="A26" authorId="0" shapeId="0" xr:uid="{C11F65FC-3988-4C4F-8281-04F2B07F39FA}">
      <text>
        <r>
          <rPr>
            <b/>
            <sz val="9"/>
            <color indexed="81"/>
            <rFont val="Tahoma"/>
            <family val="2"/>
          </rPr>
          <t>Archita Bansal:</t>
        </r>
        <r>
          <rPr>
            <sz val="9"/>
            <color indexed="81"/>
            <rFont val="Tahoma"/>
            <family val="2"/>
          </rPr>
          <t xml:space="preserve">
Advertisement expenses + Business Promotion Expenses + Marketing Expenses
</t>
        </r>
      </text>
    </comment>
    <comment ref="A27" authorId="1" shapeId="0" xr:uid="{700B12B8-5A4D-4CC3-9C91-68911C02D545}">
      <text>
        <r>
          <rPr>
            <b/>
            <sz val="9"/>
            <color indexed="81"/>
            <rFont val="Tahoma"/>
            <family val="2"/>
          </rPr>
          <t>Anirudh Shrivastava:</t>
        </r>
        <r>
          <rPr>
            <sz val="9"/>
            <color indexed="81"/>
            <rFont val="Tahoma"/>
            <family val="2"/>
          </rPr>
          <t xml:space="preserve">
Legal &amp; professional + fine &amp; penalty + BIS certification + apprentice &amp; training</t>
        </r>
      </text>
    </comment>
    <comment ref="A31" authorId="0" shapeId="0" xr:uid="{EC53FD17-28F3-4F33-B368-FE1F142ECBE2}">
      <text>
        <r>
          <rPr>
            <b/>
            <sz val="9"/>
            <color indexed="81"/>
            <rFont val="Tahoma"/>
            <family val="2"/>
          </rPr>
          <t>Archita Bansal:</t>
        </r>
        <r>
          <rPr>
            <sz val="9"/>
            <color indexed="81"/>
            <rFont val="Tahoma"/>
            <family val="2"/>
          </rPr>
          <t xml:space="preserve">
We as assuming this is rent paid for warehouses.
</t>
        </r>
      </text>
    </comment>
    <comment ref="D31" authorId="0" shapeId="0" xr:uid="{0AB1515B-F416-4B84-ABEE-3FB9AD3BB52C}">
      <text>
        <r>
          <rPr>
            <b/>
            <sz val="9"/>
            <color indexed="81"/>
            <rFont val="Tahoma"/>
            <family val="2"/>
          </rPr>
          <t>Archita Bansal:</t>
        </r>
        <r>
          <rPr>
            <sz val="9"/>
            <color indexed="81"/>
            <rFont val="Tahoma"/>
            <family val="2"/>
          </rPr>
          <t xml:space="preserve">
nature of cost??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Archita Bansal</author>
    <author>Anirudh Shrivastava</author>
  </authors>
  <commentList>
    <comment ref="G15" authorId="0" shapeId="0" xr:uid="{39C0793B-F497-41B3-9B95-F0B325F4FCCF}">
      <text>
        <r>
          <rPr>
            <b/>
            <sz val="9"/>
            <color indexed="81"/>
            <rFont val="Tahoma"/>
            <family val="2"/>
          </rPr>
          <t>Archita Bansal:</t>
        </r>
        <r>
          <rPr>
            <sz val="9"/>
            <color indexed="81"/>
            <rFont val="Tahoma"/>
            <family val="2"/>
          </rPr>
          <t xml:space="preserve">
Regional office staff + 100 on ground executives salary cost included in Other Expenses - Regional Office operational Cost amount to INR 6.68 CR
</t>
        </r>
      </text>
    </comment>
    <comment ref="B17" authorId="0" shapeId="0" xr:uid="{26C01A16-420A-4D3B-B2D9-05C6B158D646}">
      <text>
        <r>
          <rPr>
            <sz val="9"/>
            <color indexed="81"/>
            <rFont val="Tahoma"/>
            <family val="2"/>
          </rPr>
          <t>FY 24 - It does not include loss on shares which has been seperately considered under other income amounting to INR 33 lacs.</t>
        </r>
      </text>
    </comment>
    <comment ref="B18" authorId="0" shapeId="0" xr:uid="{AB5B6604-3BA1-41AE-A4C0-4A57B4A06B80}">
      <text>
        <r>
          <rPr>
            <b/>
            <sz val="9"/>
            <color indexed="81"/>
            <rFont val="Tahoma"/>
            <family val="2"/>
          </rPr>
          <t>Archita Bansal:</t>
        </r>
        <r>
          <rPr>
            <sz val="9"/>
            <color indexed="81"/>
            <rFont val="Tahoma"/>
            <family val="2"/>
          </rPr>
          <t xml:space="preserve">
Advertisement expenses + Business Promotion Expenses + Marketing Expenses
</t>
        </r>
      </text>
    </comment>
    <comment ref="B19" authorId="1" shapeId="0" xr:uid="{2FB1940E-DFF2-4779-9E4A-F1316202C363}">
      <text>
        <r>
          <rPr>
            <sz val="9"/>
            <color indexed="81"/>
            <rFont val="Tahoma"/>
            <family val="2"/>
          </rPr>
          <t>Legal &amp; professional + fine &amp; penalty + BIS certification + apprentice &amp; training</t>
        </r>
      </text>
    </comment>
    <comment ref="B21" authorId="0" shapeId="0" xr:uid="{AD0DC8B8-1413-4E5D-B2EC-5A8045034404}">
      <text>
        <r>
          <rPr>
            <b/>
            <sz val="9"/>
            <color indexed="81"/>
            <rFont val="Tahoma"/>
            <family val="2"/>
          </rPr>
          <t>Archita Bansal:</t>
        </r>
        <r>
          <rPr>
            <sz val="9"/>
            <color indexed="81"/>
            <rFont val="Tahoma"/>
            <family val="2"/>
          </rPr>
          <t xml:space="preserve">
We as assuming this is rent paid for warehouses.
</t>
        </r>
      </text>
    </comment>
    <comment ref="E21" authorId="0" shapeId="0" xr:uid="{687FB22D-84CC-4D47-926A-4EB86BB45806}">
      <text>
        <r>
          <rPr>
            <b/>
            <sz val="9"/>
            <color indexed="81"/>
            <rFont val="Tahoma"/>
            <family val="2"/>
          </rPr>
          <t>Archita Bansal:</t>
        </r>
        <r>
          <rPr>
            <sz val="9"/>
            <color indexed="81"/>
            <rFont val="Tahoma"/>
            <family val="2"/>
          </rPr>
          <t xml:space="preserve">
nature of cost??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Archita Bansal</author>
    <author>tc={9964274C-3697-4280-A114-C86CC40EBD8E}</author>
    <author>tc={D1DAE493-B27C-4888-A224-E8B03A762200}</author>
  </authors>
  <commentList>
    <comment ref="B11" authorId="0" shapeId="0" xr:uid="{95123239-FFC9-4E16-9407-34C3357965D9}">
      <text>
        <r>
          <rPr>
            <b/>
            <sz val="9"/>
            <color indexed="81"/>
            <rFont val="Tahoma"/>
            <family val="2"/>
          </rPr>
          <t>Archita Bansal:</t>
        </r>
        <r>
          <rPr>
            <sz val="9"/>
            <color indexed="81"/>
            <rFont val="Tahoma"/>
            <family val="2"/>
          </rPr>
          <t xml:space="preserve">
includes GSt, import duty, Advance income tax, Mat credits receivable </t>
        </r>
      </text>
    </comment>
    <comment ref="C22" authorId="1" shapeId="0" xr:uid="{9964274C-3697-4280-A114-C86CC40EBD8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promoter loan amounting to INR 9,97,780</t>
      </text>
    </comment>
    <comment ref="E22" authorId="2" shapeId="0" xr:uid="{D1DAE493-B27C-4888-A224-E8B03A7622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promoter loan of INR 18 Lacs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tc={807BC194-45EE-A945-A673-CD9040BFE4FA}</author>
    <author>tc={ECB941E7-31B1-7E4B-8DBB-970AE9F6FE7F}</author>
    <author>tc={F282C4B9-E05F-4F46-8A1F-3AF58915E91A}</author>
    <author>tc={767F89E9-14A3-6142-A435-0AC8CA7E9994}</author>
    <author>tc={161D5BA5-39D6-894F-8CEE-4D72A5872A82}</author>
    <author>tc={7A7D6187-8AE8-DE4F-9B8C-45A653FD8A49}</author>
  </authors>
  <commentList>
    <comment ref="G25" authorId="0" shapeId="0" xr:uid="{807BC194-45EE-A945-A673-CD9040BFE4FA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H25" authorId="1" shapeId="0" xr:uid="{ECB941E7-31B1-7E4B-8DBB-970AE9F6FE7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I25" authorId="2" shapeId="0" xr:uid="{F282C4B9-E05F-4F46-8A1F-3AF58915E91A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G26" authorId="3" shapeId="0" xr:uid="{767F89E9-14A3-6142-A435-0AC8CA7E9994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H26" authorId="4" shapeId="0" xr:uid="{161D5BA5-39D6-894F-8CEE-4D72A5872A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I26" authorId="5" shapeId="0" xr:uid="{7A7D6187-8AE8-DE4F-9B8C-45A653FD8A49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tc={42758F20-E3EF-4255-B96A-547263584434}</author>
    <author>tc={C921ECD6-30C4-416F-8E15-8DAF88E2A3B1}</author>
    <author>tc={802ECE31-AC22-4F46-B455-FFC0033EB583}</author>
    <author>tc={9A50F383-A900-4140-AD7F-BE3140FD7FEC}</author>
    <author>tc={8EFA1EB9-D614-423C-A5B6-7592BBBA0D22}</author>
    <author>tc={8F61D54F-0D14-4AC6-A32D-7B8065E677CF}</author>
  </authors>
  <commentList>
    <comment ref="G25" authorId="0" shapeId="0" xr:uid="{42758F20-E3EF-4255-B96A-547263584434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H25" authorId="1" shapeId="0" xr:uid="{C921ECD6-30C4-416F-8E15-8DAF88E2A3B1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I25" authorId="2" shapeId="0" xr:uid="{802ECE31-AC22-4F46-B455-FFC0033EB583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G26" authorId="3" shapeId="0" xr:uid="{9A50F383-A900-4140-AD7F-BE3140FD7FEC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H26" authorId="4" shapeId="0" xr:uid="{8EFA1EB9-D614-423C-A5B6-7592BBBA0D2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I26" authorId="5" shapeId="0" xr:uid="{8F61D54F-0D14-4AC6-A32D-7B8065E677C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tc={9464F1B1-2F5D-8440-95CB-8DD1763010C6}</author>
    <author>tc={92016FC1-9B6D-DB47-8B3E-E1773A6A6A11}</author>
    <author>tc={76134DDA-8C4A-4246-BBBA-AF975459FBC4}</author>
    <author>tc={77FDFC27-7E7B-1E46-8429-9BFC63B057C6}</author>
    <author>tc={EBF6862B-B386-5F40-9EEB-5C8023DD7EBE}</author>
    <author>tc={785B22A1-35BD-CB42-9C25-E0006C4CA39D}</author>
  </authors>
  <commentList>
    <comment ref="G25" authorId="0" shapeId="0" xr:uid="{9464F1B1-2F5D-8440-95CB-8DD1763010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H25" authorId="1" shapeId="0" xr:uid="{92016FC1-9B6D-DB47-8B3E-E1773A6A6A11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I25" authorId="2" shapeId="0" xr:uid="{76134DDA-8C4A-4246-BBBA-AF975459FBC4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G26" authorId="3" shapeId="0" xr:uid="{77FDFC27-7E7B-1E46-8429-9BFC63B057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H26" authorId="4" shapeId="0" xr:uid="{EBF6862B-B386-5F40-9EEB-5C8023DD7EBE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  <comment ref="I26" authorId="5" shapeId="0" xr:uid="{785B22A1-35BD-CB42-9C25-E0006C4CA39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added cost in regional office cost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AB0A23-7408-4DD4-BF47-47B6A1BF9CB0}" keepAlive="1" name="Query - Page006" description="Connection to the 'Page006' query in the workbook." type="5" refreshedVersion="0" background="1" saveData="1">
    <dbPr connection="Provider=Microsoft.Mashup.OleDb.1;Data Source=$Workbook$;Location=Page006;Extended Properties=&quot;&quot;" command="SELECT * FROM [Page006]"/>
  </connection>
</connections>
</file>

<file path=xl/sharedStrings.xml><?xml version="1.0" encoding="utf-8"?>
<sst xmlns="http://schemas.openxmlformats.org/spreadsheetml/2006/main" count="2128" uniqueCount="778">
  <si>
    <t xml:space="preserve">Open Discussion Points </t>
  </si>
  <si>
    <t xml:space="preserve">S.no </t>
  </si>
  <si>
    <t xml:space="preserve">Tab </t>
  </si>
  <si>
    <t xml:space="preserve">Reference Cell </t>
  </si>
  <si>
    <t xml:space="preserve">Points </t>
  </si>
  <si>
    <t xml:space="preserve">FM Points - 1 July' 24 </t>
  </si>
  <si>
    <t xml:space="preserve">Revenue </t>
  </si>
  <si>
    <t>revenue growth from domestic &amp; other channel appears to be low as compared to the our discussions ( FY 25 expected 300-400 Cr)</t>
  </si>
  <si>
    <r>
      <t xml:space="preserve">The total projected revenue number for FY25 is at about ₹202 Cr. We </t>
    </r>
    <r>
      <rPr>
        <b/>
        <sz val="11"/>
        <color theme="1"/>
        <rFont val="Aptos Narrow"/>
        <family val="2"/>
        <scheme val="minor"/>
      </rPr>
      <t>need to show much higher growth from domestic channels to be in line with expectation of ₹300-400 Cr for FY25 &amp; going forward</t>
    </r>
  </si>
  <si>
    <t xml:space="preserve">Online revenue will not be contributing more than 5-10% of total revenue in future </t>
  </si>
  <si>
    <t>Based on inputs of client, revenue from online channels is flat at 10% in the projected period. In case we achieve 400 Cr revenue - will it be possible to generate 40 Cr from online sales?</t>
  </si>
  <si>
    <t xml:space="preserve">HR </t>
  </si>
  <si>
    <t xml:space="preserve">We have considered 10% as staff welfare expense of total salary cost </t>
  </si>
  <si>
    <t>NA</t>
  </si>
  <si>
    <t xml:space="preserve">Detailed organisation chart </t>
  </si>
  <si>
    <t xml:space="preserve">As per Organisation chart, Total headcount in FY 24 is 52 while as per model it is 154. Please reconcile. 
Also the designations as per model &amp; org chart are not matching. </t>
  </si>
  <si>
    <t xml:space="preserve">We need to discuss on various divisons &amp; no. of personnel In each of them </t>
  </si>
  <si>
    <t>Pending for discussion</t>
  </si>
  <si>
    <t xml:space="preserve">Historical Employee Cost as per Audited FS in FY 21,22 and 23 is INR 1.55, 1.74 and 4.71 Cr while as per calculation it is different. Kindly reconcile the difference / elaborate the reason for such difference. </t>
  </si>
  <si>
    <t>The client has tried to reconcile the numbers to an extent where there is a gap of ₹1.5 Lakhs, ₹1.1 Lakhs &amp; ₹0.4 Lakhs in FY21, FY22 &amp; FY23. As per the client's note, some payments were made in cash or perks that caused the minor difference.</t>
  </si>
  <si>
    <t>P&amp;L - Promotion and Marketing Expense</t>
  </si>
  <si>
    <t>Please refer the marketing template with cost breakup, kindly provide your inputs, suggest any changes &amp; add any other relevant heads.</t>
  </si>
  <si>
    <t xml:space="preserve">Need to discuss the growth % of expense 
</t>
  </si>
  <si>
    <t xml:space="preserve">P&amp;L - Legal &amp; professional Charges </t>
  </si>
  <si>
    <t>please share your inputs on projection with respect to complance cost &amp; its basis.</t>
  </si>
  <si>
    <t>Provided as 1% . 1% will be significantly higher than that for historical period which was between 0.06% to 0.2%.</t>
  </si>
  <si>
    <t xml:space="preserve">P&amp;L - Warehouse Storage Cost </t>
  </si>
  <si>
    <t xml:space="preserve">Please explain the nature of this expense ( Is it docking charges?along with the projections for future years . </t>
  </si>
  <si>
    <t>Provided as 1% - please explain the nature of expense. Also,  1% will be significantly higher than that for historical period which was between 0.03% to 0.11%.</t>
  </si>
  <si>
    <t xml:space="preserve">Warehouse Cost </t>
  </si>
  <si>
    <t xml:space="preserve">No increment in operating cost for warehouses from FY 2025 to FY 2027. </t>
  </si>
  <si>
    <t>To be discussed</t>
  </si>
  <si>
    <t xml:space="preserve">Operating cost for FY 28 is considered INR 35 per sq ft as compared to INR 40 in previous years </t>
  </si>
  <si>
    <t xml:space="preserve">We may need to discuss warehousing cost and its increase YOY wrt to the respective revenue every year. </t>
  </si>
  <si>
    <t>This is pending for further discussion</t>
  </si>
  <si>
    <t>P&amp;L - Compliance Cost ( Licenses + Legal)</t>
  </si>
  <si>
    <t>please share your inputs on projection with respect to complance cost &amp; its basis. ( Fixed cost/ % of revenue)</t>
  </si>
  <si>
    <t xml:space="preserve">Provided as 1% </t>
  </si>
  <si>
    <t xml:space="preserve">Regional office Cost </t>
  </si>
  <si>
    <t>ok</t>
  </si>
  <si>
    <t xml:space="preserve">We may need to discuss the regional office set up &amp; operational cost </t>
  </si>
  <si>
    <t xml:space="preserve">P&amp;L - EBO - set up cost </t>
  </si>
  <si>
    <t>We need to discuss the EBO establishment costs (5 lacs + 3lacs *2 employees) for each new EBO.  Does that also apply to the existing informal operating EBOs.</t>
  </si>
  <si>
    <t>Need to discuss</t>
  </si>
  <si>
    <t>P&amp;L - Rent Paid</t>
  </si>
  <si>
    <t xml:space="preserve">please explain the purpose for which rent of INR 53 lacs has been paid in FY 24. </t>
  </si>
  <si>
    <t xml:space="preserve">As per Audited financials of FY 23 &amp; FY 24 rent paid is INR 0.49 &amp; 0.53 Cr respectively whereas as per warehouse cost sheet rent paid for warehouses in FY 23 and FY 24 is INR 0.74 &amp; 1,44 Cr respectively. Please reconcile the difference. </t>
  </si>
  <si>
    <t>P&amp;L - Travelling and Conveyance</t>
  </si>
  <si>
    <t>please share your inputs on projection with respect to travelling &amp; conveyance cost &amp; its basis. ( Fixed cost/ % of revenue)</t>
  </si>
  <si>
    <t xml:space="preserve">P&amp;L - Freight Outward </t>
  </si>
  <si>
    <t xml:space="preserve">Historically Freight ouward is 3% of the operating sales while we are projecting 5% of operating sales FY 25 onwards. Please explain the rationale. </t>
  </si>
  <si>
    <t xml:space="preserve">P&amp;L - Office Expense </t>
  </si>
  <si>
    <t>Please explain the nature of this expense. please share your inputs on projection with respect to office expense &amp; its basis. ( Fixed cost/ % of revenue)</t>
  </si>
  <si>
    <r>
      <t>Where is corporate office cost being reflected in historical financials. Please share basis for Corporate office cost built up for forecasted period.  Also share the increase in corporate offices. I</t>
    </r>
    <r>
      <rPr>
        <sz val="11"/>
        <color rgb="FFFF0000"/>
        <rFont val="Aptos Narrow (Body)"/>
      </rPr>
      <t>ts showing as office expense, no additoinal corporate office required.</t>
    </r>
  </si>
  <si>
    <t>1% will be significantly higher than that for historical period which was between 0.01% to 0.02%. Need to discuss</t>
  </si>
  <si>
    <t xml:space="preserve">P&amp;L - Unallocated Other Expenses </t>
  </si>
  <si>
    <t xml:space="preserve">Unallocated other expenses have been considered at 0.5% of operating revenue. </t>
  </si>
  <si>
    <t>No response, can assume as closed.</t>
  </si>
  <si>
    <t xml:space="preserve">BS - Advance to Suppliers </t>
  </si>
  <si>
    <t>please share your inputs on % of advance to suppliers currently &amp; future</t>
  </si>
  <si>
    <t xml:space="preserve">Response provided - flat cost number of ₹5 Cr, ₹10 Cr, ₹15 Cr &amp; ₹20 Cr for FY25, FY26, FY27 &amp; FY28. To be linked to the scale of operations </t>
  </si>
  <si>
    <t xml:space="preserve">BS- Security Deposit </t>
  </si>
  <si>
    <t>Please explain the nature of Security deposits in FY 24 amounting to INR 8 lacs.  Kindly share Security deposit calculation for forcasted period for New Warehouses and New Regional offices.</t>
  </si>
  <si>
    <t>As per model it is remaining constant in projected year, however with regional offices &amp; new warehouses, this number will definitely increase in future. Need to discuss.</t>
  </si>
  <si>
    <t xml:space="preserve">Capex </t>
  </si>
  <si>
    <r>
      <t xml:space="preserve">Regional office setup cost - added to furniture &amp; fixtures. Please confirm , </t>
    </r>
    <r>
      <rPr>
        <sz val="11"/>
        <color rgb="FFFF0000"/>
        <rFont val="Aptos Narrow (Body)"/>
      </rPr>
      <t>No, its for corporate office</t>
    </r>
  </si>
  <si>
    <t xml:space="preserve">Need to discuss. </t>
  </si>
  <si>
    <r>
      <t xml:space="preserve">Tablet cost for regional office employees - added to computers &amp; printers. Please Confirm , </t>
    </r>
    <r>
      <rPr>
        <sz val="11"/>
        <color rgb="FFFF0000"/>
        <rFont val="Aptos Narrow (Body)"/>
      </rPr>
      <t>No</t>
    </r>
  </si>
  <si>
    <t>Need to discuss. We have assumed ₹10 lakh tablet cost only in FY26 .</t>
  </si>
  <si>
    <t xml:space="preserve">Total capex additions in forcasted years seem to be low. We need to discuss on this. </t>
  </si>
  <si>
    <t>Pending response - Need to discuss.</t>
  </si>
  <si>
    <t>Tax depreciation</t>
  </si>
  <si>
    <t xml:space="preserve">Depreciation for Furniture &amp; Fixtures in FY 2022-23 is not matching as per tax report. Kindly reconcile </t>
  </si>
  <si>
    <t>Clause 32 to Clause 34 are missing from Tax audit report. Please share the same to map opening brought forward tax losses &amp; tax depreciation.</t>
  </si>
  <si>
    <t xml:space="preserve">General - Manufacturing setup cost </t>
  </si>
  <si>
    <t xml:space="preserve">Manufacturing setup - costs + infra requirements+ license (50MW) detailing for model + PPT </t>
  </si>
  <si>
    <t xml:space="preserve">General - Installation/ Service Network cost </t>
  </si>
  <si>
    <r>
      <t xml:space="preserve">Please share Installation/ Service Network cost assumptions , </t>
    </r>
    <r>
      <rPr>
        <sz val="11"/>
        <color rgb="FFFF0000"/>
        <rFont val="Aptos Narrow (Body)"/>
      </rPr>
      <t>It will be 100 manpower in service, which cost is already in inbuilt in HR sheet.</t>
    </r>
  </si>
  <si>
    <t xml:space="preserve">The installation / service network is 55 member team by FY28. This will not include any cost of training, recruitment, onboarding etc. Need to discuss. </t>
  </si>
  <si>
    <t xml:space="preserve">No. of distributors &amp; business through them </t>
  </si>
  <si>
    <t xml:space="preserve">Explain monthly revenue per active distributor </t>
  </si>
  <si>
    <t xml:space="preserve">broad segregation in terms of distributor maturity ( in terms of revenue) - Historic* </t>
  </si>
  <si>
    <t xml:space="preserve">Need to discuss 
</t>
  </si>
  <si>
    <t>Please provide profile of key Team members, refer shared file “HR Slide”</t>
  </si>
  <si>
    <t xml:space="preserve">Please provide the updated rent of warehouses &amp; corporate office for FY 24 tallying with financials amounting to INR 53 lacs </t>
  </si>
  <si>
    <t>FY 2024</t>
  </si>
  <si>
    <t xml:space="preserve">Warehouse </t>
  </si>
  <si>
    <t xml:space="preserve">Region </t>
  </si>
  <si>
    <t xml:space="preserve">Location </t>
  </si>
  <si>
    <t xml:space="preserve">Opening Year </t>
  </si>
  <si>
    <t>Area (in sq ft)</t>
  </si>
  <si>
    <t>Rent (per month)</t>
  </si>
  <si>
    <t>Rent (per annum)</t>
  </si>
  <si>
    <t xml:space="preserve">Operating Cost </t>
  </si>
  <si>
    <t xml:space="preserve">Total Cost </t>
  </si>
  <si>
    <t xml:space="preserve">North </t>
  </si>
  <si>
    <t xml:space="preserve">Haryana </t>
  </si>
  <si>
    <t>Year 2021</t>
  </si>
  <si>
    <t xml:space="preserve">Uttar Pradesh </t>
  </si>
  <si>
    <t>Year 2022</t>
  </si>
  <si>
    <t>West</t>
  </si>
  <si>
    <t>Maharashtra (Pune)</t>
  </si>
  <si>
    <t>South</t>
  </si>
  <si>
    <t>Tamil Nadu (Chennai)</t>
  </si>
  <si>
    <t>Year 2023</t>
  </si>
  <si>
    <t xml:space="preserve">Kerala </t>
  </si>
  <si>
    <t>Year 2024</t>
  </si>
  <si>
    <t xml:space="preserve">East </t>
  </si>
  <si>
    <t xml:space="preserve">West Bengal </t>
  </si>
  <si>
    <t xml:space="preserve">Corporate Office </t>
  </si>
  <si>
    <t xml:space="preserve">Please let us know , in which head the operating cost of Warehouses amounting to INR 24 lacs, 25 lacs &amp; 54 lacs in FY 22, 23 &amp; 24 respectively placed in audited financials. </t>
  </si>
  <si>
    <t>Tax Audit report for AY 23-24 with the schedule of brought forward tax losses &amp; brought forward tax depreciation.</t>
  </si>
  <si>
    <t>Please confirm the final organisation chart mapping with the headcount as per Financial Model i.e 154, refer shared file “Loom Solar – IM – Organisation Chart”</t>
  </si>
  <si>
    <t>Kindly provide the below mentioned data for current EBOs</t>
  </si>
  <si>
    <t>EBO Maturity</t>
  </si>
  <si>
    <t>0-6 months</t>
  </si>
  <si>
    <t>6-12 months</t>
  </si>
  <si>
    <t>12-18 months</t>
  </si>
  <si>
    <t xml:space="preserve">Average revenue per EBO - current </t>
  </si>
  <si>
    <t xml:space="preserve">&lt;&lt; EBOs onboarded in Dec'22; performance from Jan'23 to Jun'24 </t>
  </si>
  <si>
    <t>No. of EBO</t>
  </si>
  <si>
    <t xml:space="preserve">Other Expenses </t>
  </si>
  <si>
    <t>Promotion and Marketing Expense</t>
  </si>
  <si>
    <t xml:space="preserve">Legal &amp; professional Charges </t>
  </si>
  <si>
    <t>Warehouse Storage Cost (docking charges of Amazon)</t>
  </si>
  <si>
    <t>Regional Office - operational Cost (Rent + Operations)</t>
  </si>
  <si>
    <t xml:space="preserve">EBO - set up cost </t>
  </si>
  <si>
    <t xml:space="preserve">Rent Paid </t>
  </si>
  <si>
    <t>Travelling and Conveyance</t>
  </si>
  <si>
    <t>Freight Outward</t>
  </si>
  <si>
    <t xml:space="preserve">Software, email &amp; website maintenance </t>
  </si>
  <si>
    <t xml:space="preserve">Office Expense (admin exp) </t>
  </si>
  <si>
    <t xml:space="preserve">Others </t>
  </si>
  <si>
    <t>Total</t>
  </si>
  <si>
    <t>FY 24</t>
  </si>
  <si>
    <t>FY 25</t>
  </si>
  <si>
    <t>FY 26</t>
  </si>
  <si>
    <t>FY 27</t>
  </si>
  <si>
    <t>FY 28</t>
  </si>
  <si>
    <t>Warehouse Storage Cost (Warehouse rent for locations other than Haryana)</t>
  </si>
  <si>
    <t>Rent Paid  ( Warehouse &amp; corporate office rent in haryana)</t>
  </si>
  <si>
    <t xml:space="preserve">Loom Solar Private Limited </t>
  </si>
  <si>
    <t>Particulars</t>
  </si>
  <si>
    <t>EBITDA</t>
  </si>
  <si>
    <t>Tax Rate</t>
  </si>
  <si>
    <t xml:space="preserve">1 USD </t>
  </si>
  <si>
    <t xml:space="preserve">P&amp;L </t>
  </si>
  <si>
    <t>INR Crores</t>
  </si>
  <si>
    <t xml:space="preserve">Analysis </t>
  </si>
  <si>
    <t>(in ₹ crores)</t>
  </si>
  <si>
    <t>Domestic Sales</t>
  </si>
  <si>
    <t>Export Sales</t>
  </si>
  <si>
    <t>Other Operating Income (Registration Charges &amp; Freight Received)</t>
  </si>
  <si>
    <t>Revenue from  Operations</t>
  </si>
  <si>
    <t>Foreign exchange fluctuation</t>
  </si>
  <si>
    <t>% increase yoy</t>
  </si>
  <si>
    <t>Raw Materials consumed</t>
  </si>
  <si>
    <t>Change in inventory (WIP &amp; FG)</t>
  </si>
  <si>
    <t xml:space="preserve">Cost of Goods Sold + Manufacturing COGS </t>
  </si>
  <si>
    <t>Employee Benefit Expenses (incl director remuneration)</t>
  </si>
  <si>
    <t>Manufacturing - Operation Costs (Rental &amp; Overheads)</t>
  </si>
  <si>
    <t>Warehouse Storage Cost (Warehouse rent for locations other than Haryana+ corporate office rent)</t>
  </si>
  <si>
    <t>Regional Office - operational Cost (Rent + Salary)</t>
  </si>
  <si>
    <t>Total Expenses</t>
  </si>
  <si>
    <t>EBITDA (operational)</t>
  </si>
  <si>
    <t xml:space="preserve">Other Income </t>
  </si>
  <si>
    <t xml:space="preserve">Loss on sale of Shares </t>
  </si>
  <si>
    <t>EBITDA (Company Level )</t>
  </si>
  <si>
    <t>D&amp;A</t>
  </si>
  <si>
    <t>EBIT</t>
  </si>
  <si>
    <t>Interest Expense</t>
  </si>
  <si>
    <t>PBT</t>
  </si>
  <si>
    <t>Tax</t>
  </si>
  <si>
    <t>Current Tax</t>
  </si>
  <si>
    <t>Deferred Tax</t>
  </si>
  <si>
    <t>PAT</t>
  </si>
  <si>
    <t>Check</t>
  </si>
  <si>
    <t xml:space="preserve">Balance Sheet </t>
  </si>
  <si>
    <t>2022
Historical</t>
  </si>
  <si>
    <t>2023
Historical</t>
  </si>
  <si>
    <t>2024
Provisional</t>
  </si>
  <si>
    <t>2025
Forecasted</t>
  </si>
  <si>
    <t>2026
Forecasted</t>
  </si>
  <si>
    <t>2027
Forecasted</t>
  </si>
  <si>
    <t>2028
Forecasted</t>
  </si>
  <si>
    <t>Cash &amp; Bank Balances</t>
  </si>
  <si>
    <t>Receivables (Trading + Manufacturing)</t>
  </si>
  <si>
    <t>- Domestic</t>
  </si>
  <si>
    <t>- Export</t>
  </si>
  <si>
    <t>Inventory</t>
  </si>
  <si>
    <t>Advances to suppliers</t>
  </si>
  <si>
    <t>&lt;&lt;Considered as 4% of COGS&gt;&gt;</t>
  </si>
  <si>
    <t>Other current assets</t>
  </si>
  <si>
    <t>Total current assets</t>
  </si>
  <si>
    <t>WDV-Fixed assets</t>
  </si>
  <si>
    <t>Other Non-Current Assets</t>
  </si>
  <si>
    <t>Investments / Book Debts / Advances / Deposits</t>
  </si>
  <si>
    <t xml:space="preserve">Security Deposit </t>
  </si>
  <si>
    <t>Total Non Current Asset</t>
  </si>
  <si>
    <t>Total Assets</t>
  </si>
  <si>
    <t>Short Term Borrowings</t>
  </si>
  <si>
    <t>Trade Payables</t>
  </si>
  <si>
    <t xml:space="preserve">Advance Payments from Customer </t>
  </si>
  <si>
    <t>Short Term Provisions</t>
  </si>
  <si>
    <t xml:space="preserve">Other Current Liabilities </t>
  </si>
  <si>
    <t>Total Current Liabilities</t>
  </si>
  <si>
    <t>Term Loans</t>
  </si>
  <si>
    <t>Term Deposits</t>
  </si>
  <si>
    <t>Deferred Tax Liabilities (Net)</t>
  </si>
  <si>
    <t>Other Term Liabilities</t>
  </si>
  <si>
    <t>Total non current liabilities</t>
  </si>
  <si>
    <t>Share Capital</t>
  </si>
  <si>
    <t>General Reserve</t>
  </si>
  <si>
    <t>Surplus / Deficit in P&amp;L</t>
  </si>
  <si>
    <t>Share Premium</t>
  </si>
  <si>
    <t>Shareholder's Equity</t>
  </si>
  <si>
    <t>Total liabilities &amp; equity</t>
  </si>
  <si>
    <t>1 USD million in INR lacs</t>
  </si>
  <si>
    <t>Cash Flow Statement</t>
  </si>
  <si>
    <t>Loom Solar Private Limited</t>
  </si>
  <si>
    <t>Net Income(PAT)</t>
  </si>
  <si>
    <t>Adjustments</t>
  </si>
  <si>
    <t>Add: Tax Paid</t>
  </si>
  <si>
    <t>Add: Depreciation</t>
  </si>
  <si>
    <t>Add: Finance Costs</t>
  </si>
  <si>
    <t>Operating Profit before WC Changes</t>
  </si>
  <si>
    <t>Changes in WC</t>
  </si>
  <si>
    <t>Receivables</t>
  </si>
  <si>
    <t xml:space="preserve">Advances to supplier </t>
  </si>
  <si>
    <t>Other Current Assets</t>
  </si>
  <si>
    <t>Advance Payment from Customers</t>
  </si>
  <si>
    <t>Other Current Liabilities</t>
  </si>
  <si>
    <t>Less: Tax</t>
  </si>
  <si>
    <t>Cash Flow from Operating Activities</t>
  </si>
  <si>
    <t>Purchase of Fixed Assets</t>
  </si>
  <si>
    <t>Other non current assets</t>
  </si>
  <si>
    <t>Cash Flow from Investing Activities</t>
  </si>
  <si>
    <t>Long Term Borrowings</t>
  </si>
  <si>
    <t>Finance Costs</t>
  </si>
  <si>
    <t>Issue of Shares</t>
  </si>
  <si>
    <t>Other Long Term Borrowings</t>
  </si>
  <si>
    <t>Cash Flow from Financing Activities</t>
  </si>
  <si>
    <t>Net Cash Flow</t>
  </si>
  <si>
    <t>Opening Cash</t>
  </si>
  <si>
    <t>Closing Cash</t>
  </si>
  <si>
    <t xml:space="preserve">Check </t>
  </si>
  <si>
    <t>Financial Analysis</t>
  </si>
  <si>
    <t xml:space="preserve">INR Cr </t>
  </si>
  <si>
    <t>Manohar Filaments BD Ltd.</t>
  </si>
  <si>
    <t>Total Revenue</t>
  </si>
  <si>
    <t>y-o-y (%)</t>
  </si>
  <si>
    <t>EBITDA(%)</t>
  </si>
  <si>
    <t>Depreciation</t>
  </si>
  <si>
    <t>EBIT(%)</t>
  </si>
  <si>
    <t>PBT(%)</t>
  </si>
  <si>
    <t>PAT (%)</t>
  </si>
  <si>
    <t>Shareholders' Equity</t>
  </si>
  <si>
    <t>Total Debt</t>
  </si>
  <si>
    <t>Working Capital</t>
  </si>
  <si>
    <t>Current Assets (exclusing cash)</t>
  </si>
  <si>
    <t>Current Liabilities ( excluding STB)</t>
  </si>
  <si>
    <t>Net Working Capital</t>
  </si>
  <si>
    <t>Average Shareholders' Equity Funds*</t>
  </si>
  <si>
    <t>Average Capital Employed</t>
  </si>
  <si>
    <t>Cash &amp;Cash Equivalents</t>
  </si>
  <si>
    <t>ROAE</t>
  </si>
  <si>
    <t>Net Debt</t>
  </si>
  <si>
    <t>*adjusted for cash</t>
  </si>
  <si>
    <t>WDV Tangible Assets</t>
  </si>
  <si>
    <t>ROU</t>
  </si>
  <si>
    <t xml:space="preserve">Intangible </t>
  </si>
  <si>
    <t xml:space="preserve">Revenue Template </t>
  </si>
  <si>
    <t xml:space="preserve">Total projected revenue - Statewise </t>
  </si>
  <si>
    <t xml:space="preserve">Bifurcation of Total Revenue - Productwise </t>
  </si>
  <si>
    <t>Forecast</t>
  </si>
  <si>
    <t>FY 2021-22</t>
  </si>
  <si>
    <t>FY 2022-23</t>
  </si>
  <si>
    <t>FY 2023-24</t>
  </si>
  <si>
    <t>FY 2024-25</t>
  </si>
  <si>
    <t>FY 2025-26</t>
  </si>
  <si>
    <t>FY 2026-27</t>
  </si>
  <si>
    <t>FY 2027-28</t>
  </si>
  <si>
    <t xml:space="preserve">State </t>
  </si>
  <si>
    <t xml:space="preserve">Product </t>
  </si>
  <si>
    <t xml:space="preserve">No. of Dealer/Distributors </t>
  </si>
  <si>
    <t xml:space="preserve">No. of EBOs </t>
  </si>
  <si>
    <t>Units (Watt)</t>
  </si>
  <si>
    <t xml:space="preserve">Quantity </t>
  </si>
  <si>
    <t xml:space="preserve">Price </t>
  </si>
  <si>
    <t>Revenue in INR</t>
  </si>
  <si>
    <t xml:space="preserve">Revenue in INR </t>
  </si>
  <si>
    <t>Total no. of distributors ( including EBOs)</t>
  </si>
  <si>
    <t>Domestic Distributor Channel</t>
  </si>
  <si>
    <t>Uttar Pradesh</t>
  </si>
  <si>
    <t xml:space="preserve">PV Module </t>
  </si>
  <si>
    <t xml:space="preserve">Battery </t>
  </si>
  <si>
    <t xml:space="preserve">Inverter </t>
  </si>
  <si>
    <t xml:space="preserve">Accessories </t>
  </si>
  <si>
    <t>Delhi</t>
  </si>
  <si>
    <t xml:space="preserve">Total </t>
  </si>
  <si>
    <t xml:space="preserve">N. Others </t>
  </si>
  <si>
    <t xml:space="preserve">West </t>
  </si>
  <si>
    <t xml:space="preserve">Maharashtra </t>
  </si>
  <si>
    <t xml:space="preserve">Madhya Pradesh </t>
  </si>
  <si>
    <t>W. Others(Rajasthan)</t>
  </si>
  <si>
    <t xml:space="preserve">Tamil Nadu </t>
  </si>
  <si>
    <t>S. Others (Telangana &amp; Karnataka)</t>
  </si>
  <si>
    <t>Bihar</t>
  </si>
  <si>
    <t>E. Others (Odissa)</t>
  </si>
  <si>
    <t xml:space="preserve">Total revenue from domestic distribution </t>
  </si>
  <si>
    <t xml:space="preserve">Incremental Distributors </t>
  </si>
  <si>
    <t>Incremental EBO</t>
  </si>
  <si>
    <t xml:space="preserve">Revenue per distributor </t>
  </si>
  <si>
    <t xml:space="preserve">Average of 3 years revenue per distributor till FY 24 </t>
  </si>
  <si>
    <t>Insert rows for each additional state ( region wise)</t>
  </si>
  <si>
    <t>Quantity Growth Rate in FY26 to FY28</t>
  </si>
  <si>
    <t xml:space="preserve">Exports </t>
  </si>
  <si>
    <t>Insert rows for each additional country (Please mention broad countries)</t>
  </si>
  <si>
    <t xml:space="preserve">Corporates/ Enterprise </t>
  </si>
  <si>
    <t xml:space="preserve">Government </t>
  </si>
  <si>
    <t xml:space="preserve">Online </t>
  </si>
  <si>
    <t xml:space="preserve">Grand Total </t>
  </si>
  <si>
    <t>Summary - productwise</t>
  </si>
  <si>
    <t>Grand Total</t>
  </si>
  <si>
    <t>Summary - Channelwise</t>
  </si>
  <si>
    <t xml:space="preserve">Summary - Regionwise for Retail Channels </t>
  </si>
  <si>
    <t xml:space="preserve">Proportions of products - Summary </t>
  </si>
  <si>
    <t xml:space="preserve">Proportions of Channel - Summary </t>
  </si>
  <si>
    <t xml:space="preserve">Proportions of region - Summary </t>
  </si>
  <si>
    <t xml:space="preserve">INR Crores </t>
  </si>
  <si>
    <t xml:space="preserve">Manufacturing Set up </t>
  </si>
  <si>
    <t xml:space="preserve">Operational Months </t>
  </si>
  <si>
    <t>COGS(Material, labour, electricity &amp; other operating costs)</t>
  </si>
  <si>
    <t xml:space="preserve">Rental expense &amp; Overheads </t>
  </si>
  <si>
    <t xml:space="preserve">Calculations </t>
  </si>
  <si>
    <t>Revenue Calculation</t>
  </si>
  <si>
    <t>Revenue per MW (in Cr)</t>
  </si>
  <si>
    <t>Maximum Revenue Potential (in Cr)</t>
  </si>
  <si>
    <t xml:space="preserve">Actual Revenue earned </t>
  </si>
  <si>
    <t xml:space="preserve">COGS </t>
  </si>
  <si>
    <t>Rate Increment %</t>
  </si>
  <si>
    <t>Rate per sq ft</t>
  </si>
  <si>
    <t>Fixed Asset Addition (in Cr)</t>
  </si>
  <si>
    <t>Machinery and Tools</t>
  </si>
  <si>
    <t xml:space="preserve">For Contract Manufacturing  </t>
  </si>
  <si>
    <t>Revenue / COGS</t>
  </si>
  <si>
    <t>Cost of goods sold</t>
  </si>
  <si>
    <t>Number of days</t>
  </si>
  <si>
    <t>Trade Receivables (Days)</t>
  </si>
  <si>
    <t>Domestic Debtors</t>
  </si>
  <si>
    <t xml:space="preserve">As per discussion with client, projected receivable days would be 30 days for domestic debtors </t>
  </si>
  <si>
    <t xml:space="preserve">Export Debtors </t>
  </si>
  <si>
    <t xml:space="preserve">As per discussion with client, projected receivable days would be 15 days for international debtors </t>
  </si>
  <si>
    <t>Trade Payables (Days)</t>
  </si>
  <si>
    <t>As per discussion with client, projected receivable days would be Nil.</t>
  </si>
  <si>
    <t>Amount</t>
  </si>
  <si>
    <t>INR crores</t>
  </si>
  <si>
    <t>Trade receivables (net of Advance from Customers)</t>
  </si>
  <si>
    <t xml:space="preserve">- Domestic </t>
  </si>
  <si>
    <t>Advance from Customers (liability)</t>
  </si>
  <si>
    <t>&lt;&lt;10% of monthly Sales&gt;&gt;</t>
  </si>
  <si>
    <t>Advance to supplier (asset)</t>
  </si>
  <si>
    <t>&lt;&lt;30% of monthly COGS&gt;&gt;</t>
  </si>
  <si>
    <t xml:space="preserve">Monthly Sales </t>
  </si>
  <si>
    <t>Monthly COGS</t>
  </si>
  <si>
    <t xml:space="preserve">For manufacturing </t>
  </si>
  <si>
    <t xml:space="preserve">As per discussion with client, projected receivable days would be 30 days for debtors </t>
  </si>
  <si>
    <t>Total ( Contract Manufacturing + Manufacturing)</t>
  </si>
  <si>
    <t xml:space="preserve">Total Working Capital requirement </t>
  </si>
  <si>
    <t>Change in working Capital requirement (For DCF)</t>
  </si>
  <si>
    <t>Current Assets</t>
  </si>
  <si>
    <t>Current Liabilities</t>
  </si>
  <si>
    <t>Average Shareholders' Equity Funds</t>
  </si>
  <si>
    <t>D/E Ratio</t>
  </si>
  <si>
    <t>ROE</t>
  </si>
  <si>
    <t>ROACE</t>
  </si>
  <si>
    <t>Degree of Operating Leverage</t>
  </si>
  <si>
    <t xml:space="preserve">EBO Calculation </t>
  </si>
  <si>
    <t>Total EBOs</t>
  </si>
  <si>
    <t>We have been informed that 10% of Total distributors are EBOs</t>
  </si>
  <si>
    <t xml:space="preserve">EBO as a % of Total Distributors </t>
  </si>
  <si>
    <t xml:space="preserve">EBO Bifurcation for FY 2023-24 </t>
  </si>
  <si>
    <t xml:space="preserve">FY 2023-24 </t>
  </si>
  <si>
    <t>Regions/ States</t>
  </si>
  <si>
    <t>OTH</t>
  </si>
  <si>
    <t xml:space="preserve">For FY 24, EBOs are bifurcated as per the table indicated on the left </t>
  </si>
  <si>
    <t xml:space="preserve">EBO GROWTH for future Years - statewise </t>
  </si>
  <si>
    <t xml:space="preserve">Particulars </t>
  </si>
  <si>
    <t xml:space="preserve">Split in growth </t>
  </si>
  <si>
    <t xml:space="preserve">No. of New Areas </t>
  </si>
  <si>
    <t xml:space="preserve">Management believes that, of incremental EBOs each year, 20% will be concentrated in Existing states and 80% wil be located in New States </t>
  </si>
  <si>
    <t>For each New State</t>
  </si>
  <si>
    <t>For each Existing State</t>
  </si>
  <si>
    <t xml:space="preserve">Distributors </t>
  </si>
  <si>
    <t>Distributors are growing at 10% rate year on year FY 2024 onwards</t>
  </si>
  <si>
    <t>Total Distributors</t>
  </si>
  <si>
    <t xml:space="preserve">Distributors Growth YOY </t>
  </si>
  <si>
    <t xml:space="preserve">DISTRIBUTOR GROWTH for future Years </t>
  </si>
  <si>
    <t xml:space="preserve">No. of States </t>
  </si>
  <si>
    <t xml:space="preserve">Management velieves that, of incremental distributors each year, 30% will increase in Existing states and 70% will increase in New States </t>
  </si>
  <si>
    <t>For each New Areas</t>
  </si>
  <si>
    <t xml:space="preserve">For each Existing Areas </t>
  </si>
  <si>
    <t>Revenue growth YOY - Statewise bifurcation</t>
  </si>
  <si>
    <t xml:space="preserve">States </t>
  </si>
  <si>
    <t>Costs</t>
  </si>
  <si>
    <t>Basis</t>
  </si>
  <si>
    <t>Cost of Goods Sold ( Raw material Consumed + Change in Inventory)</t>
  </si>
  <si>
    <t xml:space="preserve">% of Operating Sales </t>
  </si>
  <si>
    <t>Freight outward  (% of Operating Sales)</t>
  </si>
  <si>
    <t xml:space="preserve">It covers only outward transport cost. Inward transportation costs are covered in COGS </t>
  </si>
  <si>
    <t>Legal &amp; professional Charges  (INR Cr)</t>
  </si>
  <si>
    <t>Absolute figure, based on Mangement estimates</t>
  </si>
  <si>
    <t xml:space="preserve">Travelling &amp; Conveyance </t>
  </si>
  <si>
    <t xml:space="preserve">Office Expense </t>
  </si>
  <si>
    <t>Unallocated Other expenses (INR Cr)</t>
  </si>
  <si>
    <t>Forecasted Marketing Expenses</t>
  </si>
  <si>
    <t xml:space="preserve">Expense Growth </t>
  </si>
  <si>
    <t>Corporate fair participations / Trade shows - Brand Awareness</t>
  </si>
  <si>
    <t xml:space="preserve">Number of trade shows participated </t>
  </si>
  <si>
    <t>Per show cost (in INR):</t>
  </si>
  <si>
    <t>Cost of participating in show (Rs. 6000 per sqft, area 100 sqft)</t>
  </si>
  <si>
    <t>Stall design, Rs. 3000 sqft</t>
  </si>
  <si>
    <t>Marketing Catagloue for Customer</t>
  </si>
  <si>
    <t>Marketing Team Travel, Food and Accodomation</t>
  </si>
  <si>
    <t>Total cost per show</t>
  </si>
  <si>
    <t>Total cost of Corporate fair participations / Trade shows (INR)</t>
  </si>
  <si>
    <t>Industry Magazines &amp; Journals - Brand Awareness</t>
  </si>
  <si>
    <t>Cost per page of advertisement (in INR)</t>
  </si>
  <si>
    <t>Number of advertisements per year</t>
  </si>
  <si>
    <t>Total cost of industry magazines &amp; journals (INR)</t>
  </si>
  <si>
    <t>Cost of Event Hosting - Dealer Meet/ESG / Social initiatives - Community service, farmer support, marathons, sponsorships at events and Partnership with Local Associations (MSME) - Specifically for CNI segment</t>
  </si>
  <si>
    <t>Cost per event (in INR)</t>
  </si>
  <si>
    <t>Number of Events  per year</t>
  </si>
  <si>
    <t>Cost of Event Hosting - Network Meet up Event - product &amp; brand awareness</t>
  </si>
  <si>
    <t>Number of City for Events  per year</t>
  </si>
  <si>
    <t xml:space="preserve">Digital Marketing cost (INR) - online </t>
  </si>
  <si>
    <t>Online (Amazon and Flipkart)</t>
  </si>
  <si>
    <t xml:space="preserve">as an average 7-10% of Sales </t>
  </si>
  <si>
    <t>Youtube, Facebook, Instagram and Google (Influencer Marketing)</t>
  </si>
  <si>
    <t>Blogs and SEO Content</t>
  </si>
  <si>
    <t>Creative Agency</t>
  </si>
  <si>
    <t>PR Expense Agency</t>
  </si>
  <si>
    <t>Google Maps (Solar Localised)</t>
  </si>
  <si>
    <t xml:space="preserve">Store locator cost </t>
  </si>
  <si>
    <r>
      <t xml:space="preserve">Tools Development </t>
    </r>
    <r>
      <rPr>
        <sz val="8"/>
        <color theme="1"/>
        <rFont val="Arial"/>
        <family val="2"/>
      </rPr>
      <t>(Technology 3 D Visulation of Solar System before installations)</t>
    </r>
  </si>
  <si>
    <t xml:space="preserve">General Marketing &amp; Branding spends (billboards etc.) - Offline </t>
  </si>
  <si>
    <t>Marketing Catalogue (Tshirt, Product Catalogue, Key Ring, Diary, Visiting Card etc.) including regional content Tamil/Telgu</t>
  </si>
  <si>
    <t>Auto/Bus Branding</t>
  </si>
  <si>
    <t>Brand Ambassador</t>
  </si>
  <si>
    <t>TV Ads and content creation</t>
  </si>
  <si>
    <t>News Paper Ads and Radio ads</t>
  </si>
  <si>
    <t>Total Marketing Expenses</t>
  </si>
  <si>
    <t>% Marketing Cost</t>
  </si>
  <si>
    <t xml:space="preserve">Costs </t>
  </si>
  <si>
    <t xml:space="preserve">Cost for setting up EBO </t>
  </si>
  <si>
    <t xml:space="preserve">Staff Support per EBO </t>
  </si>
  <si>
    <t xml:space="preserve">EBO personnel already captured in HR &amp; regional office cost sheet as Area sales Manages &amp; Field Sales Executive.  
Regional office Team sales staff includes EBO staff, &amp; HR sheet should be read along with EBO Cost Sheet &amp; Regional Office Cost Sheet. </t>
  </si>
  <si>
    <t>Salary per Staff per annum</t>
  </si>
  <si>
    <t>Total EBO Cost - setup one time - P&amp;L</t>
  </si>
  <si>
    <t xml:space="preserve">Human resource template </t>
  </si>
  <si>
    <t xml:space="preserve">&lt;&lt; please include other departments like - product designing, product research, product testing etc and elaborate the designations in each of these departments along with the expected headcount and cost associated with each of them </t>
  </si>
  <si>
    <t xml:space="preserve">Head Count </t>
  </si>
  <si>
    <t>Salary cost per personnel (INR per annum)</t>
  </si>
  <si>
    <t xml:space="preserve">INR in Crores </t>
  </si>
  <si>
    <t>Location</t>
  </si>
  <si>
    <t>2021-22</t>
  </si>
  <si>
    <t>2022-23</t>
  </si>
  <si>
    <t>2023-24</t>
  </si>
  <si>
    <t>2024-25</t>
  </si>
  <si>
    <t>2025-26</t>
  </si>
  <si>
    <t>2026-27</t>
  </si>
  <si>
    <t>2027-28</t>
  </si>
  <si>
    <t>( Corporate Office/ Factory &amp; Warehouse/ Regional, field office)</t>
  </si>
  <si>
    <t>Executive Team</t>
  </si>
  <si>
    <t>Corporate</t>
  </si>
  <si>
    <t>CEO</t>
  </si>
  <si>
    <t>CFO</t>
  </si>
  <si>
    <t>Department 1( Sourcing)</t>
  </si>
  <si>
    <t>Manager</t>
  </si>
  <si>
    <t>Assitant Manager</t>
  </si>
  <si>
    <t>Department 2 ( Technology, R&amp;D, Product Development )</t>
  </si>
  <si>
    <t>Department 3 - Distribution &amp; Sales</t>
  </si>
  <si>
    <t>Area Sales Manager</t>
  </si>
  <si>
    <t>Field</t>
  </si>
  <si>
    <t>Field Sales Executive</t>
  </si>
  <si>
    <t>Inside Sales executive</t>
  </si>
  <si>
    <t xml:space="preserve">Department 4 - Marketing </t>
  </si>
  <si>
    <t>Head Marketing</t>
  </si>
  <si>
    <t>Executive</t>
  </si>
  <si>
    <t>Department 5 - Installation , After Sales Service, Ground Support Staff</t>
  </si>
  <si>
    <t>Department 6 - Admin, General, Accounting, HR</t>
  </si>
  <si>
    <t>Assistant Manager</t>
  </si>
  <si>
    <t xml:space="preserve">Department 7 - Regional office Heads </t>
  </si>
  <si>
    <t xml:space="preserve">Lucknow </t>
  </si>
  <si>
    <t xml:space="preserve">Bihar </t>
  </si>
  <si>
    <t xml:space="preserve">Any other department </t>
  </si>
  <si>
    <t>Staff welfare expenses</t>
  </si>
  <si>
    <t xml:space="preserve">Historical from P&amp;L </t>
  </si>
  <si>
    <t xml:space="preserve">Notes </t>
  </si>
  <si>
    <t>Difference</t>
  </si>
  <si>
    <t xml:space="preserve">1. Every year Salary at differenty level to be increased by a potential increment </t>
  </si>
  <si>
    <t xml:space="preserve">2. 10-12% of the overall cost to be considered as overheads/ employee welfare/ PF / Gratuity? Other bonuses  </t>
  </si>
  <si>
    <t xml:space="preserve">3. Please let us know if there is any specific commission percentage to be paid to sales team &amp; a matrix to compute that. </t>
  </si>
  <si>
    <t xml:space="preserve">4. Please provide the detailed organisation chart starting from highest level ( CEO, COO etc) &amp; defining functions/ departments with the relevant number of employees below each of them </t>
  </si>
  <si>
    <t>FY25</t>
  </si>
  <si>
    <t>FY26</t>
  </si>
  <si>
    <t>FY27</t>
  </si>
  <si>
    <t>FY28</t>
  </si>
  <si>
    <t>Hiring Factor</t>
  </si>
  <si>
    <t xml:space="preserve">Sub Total </t>
  </si>
  <si>
    <t>Loom  made some payment as cash or perks so minior difference</t>
  </si>
  <si>
    <t xml:space="preserve">No. of Months </t>
  </si>
  <si>
    <t>Rent per sq ft in FY 25 for New warehouses (INR)</t>
  </si>
  <si>
    <t xml:space="preserve">Rent increment factor </t>
  </si>
  <si>
    <t xml:space="preserve">Months for Security Deposit </t>
  </si>
  <si>
    <t>FY 2022</t>
  </si>
  <si>
    <t>FY 2023</t>
  </si>
  <si>
    <t>FY 2025</t>
  </si>
  <si>
    <t>FY 2026</t>
  </si>
  <si>
    <t>FY 2027</t>
  </si>
  <si>
    <t>FY 2028</t>
  </si>
  <si>
    <t xml:space="preserve">Uttar pradesh </t>
  </si>
  <si>
    <t xml:space="preserve">Uttarakhand (Haridwar) </t>
  </si>
  <si>
    <t xml:space="preserve">UP (Benaras) </t>
  </si>
  <si>
    <t xml:space="preserve">Rajasthan </t>
  </si>
  <si>
    <t>Odissa</t>
  </si>
  <si>
    <t xml:space="preserve">Karnataka </t>
  </si>
  <si>
    <t xml:space="preserve">Calculation of Additional Security Deposit </t>
  </si>
  <si>
    <t xml:space="preserve">Increase in Area </t>
  </si>
  <si>
    <t>Corresponding Rent
(per month)</t>
  </si>
  <si>
    <t>Security Deposit for new / increase</t>
  </si>
  <si>
    <t>Operating costs are included in Freight Outward</t>
  </si>
  <si>
    <t>Loom  made some payment as cash or perks so minor difference</t>
  </si>
  <si>
    <t>Summary - Regionwise</t>
  </si>
  <si>
    <r>
      <t xml:space="preserve">Rent Rate ( per sq ft) per month ( INR)
</t>
    </r>
    <r>
      <rPr>
        <i/>
        <sz val="10"/>
        <color theme="1"/>
        <rFont val="Arial"/>
        <family val="2"/>
      </rPr>
      <t>This includes water, electricity &amp; other facilities</t>
    </r>
    <r>
      <rPr>
        <sz val="10"/>
        <color theme="1"/>
        <rFont val="Arial"/>
        <family val="2"/>
      </rPr>
      <t>.</t>
    </r>
  </si>
  <si>
    <t>Percetage of staff eligible for Laptops</t>
  </si>
  <si>
    <t xml:space="preserve">Rent Increment </t>
  </si>
  <si>
    <t xml:space="preserve">Rent </t>
  </si>
  <si>
    <t xml:space="preserve"> Per Regional Office - 
FY 24-25 benchmark </t>
  </si>
  <si>
    <t>Office Development Cost (INR)</t>
  </si>
  <si>
    <t>Rent-per month (INR)</t>
  </si>
  <si>
    <t>Total Rent Cost (INR)</t>
  </si>
  <si>
    <t xml:space="preserve">No. of Months for Security Deposit </t>
  </si>
  <si>
    <t xml:space="preserve">Staff Cost </t>
  </si>
  <si>
    <t xml:space="preserve"> Per Regional Office </t>
  </si>
  <si>
    <t xml:space="preserve">Headcount per office </t>
  </si>
  <si>
    <t>40-50</t>
  </si>
  <si>
    <t>Salary-per person (INR)</t>
  </si>
  <si>
    <t>Total Salary expense (INR)</t>
  </si>
  <si>
    <t xml:space="preserve">Total Regional office expense </t>
  </si>
  <si>
    <t xml:space="preserve">No. of Regional offices </t>
  </si>
  <si>
    <t xml:space="preserve">Incremental offices </t>
  </si>
  <si>
    <t xml:space="preserve">Set up Cost - Fixed Assets (F&amp;F) </t>
  </si>
  <si>
    <t>Operational cost - P&amp;L</t>
  </si>
  <si>
    <t>Cost per Laptop</t>
  </si>
  <si>
    <t xml:space="preserve">Total Cost of Tab - Fixed Assets </t>
  </si>
  <si>
    <t xml:space="preserve">Calculation of Security Deposit </t>
  </si>
  <si>
    <t xml:space="preserve">Security Deposit for New Offices </t>
  </si>
  <si>
    <t xml:space="preserve">Monthly rent of INR 70 per sq ft has been assumed </t>
  </si>
  <si>
    <t>Salary of INR 5 lacs per person include all expenses like salary incentive, other overheads etc</t>
  </si>
  <si>
    <t xml:space="preserve">The company is planning to open regional offices in FY 25-26 in Lucknow, Patna, Chennai &amp; Pune </t>
  </si>
  <si>
    <t xml:space="preserve">Capital Expenditure </t>
  </si>
  <si>
    <t>All amounts in INR Crores</t>
  </si>
  <si>
    <t>S.no</t>
  </si>
  <si>
    <t>Class of Asset</t>
  </si>
  <si>
    <t>Depreciation rates</t>
  </si>
  <si>
    <t>Useful Life</t>
  </si>
  <si>
    <t xml:space="preserve">Tax Block </t>
  </si>
  <si>
    <t>Air Conditioner</t>
  </si>
  <si>
    <t>P&amp;M-15%</t>
  </si>
  <si>
    <t>Refrigerator</t>
  </si>
  <si>
    <t>Furniture and Fixtures</t>
  </si>
  <si>
    <t>F&amp;F-10%</t>
  </si>
  <si>
    <t>Computer and Printer</t>
  </si>
  <si>
    <t>P&amp;M-40%</t>
  </si>
  <si>
    <t>Software</t>
  </si>
  <si>
    <t>Car</t>
  </si>
  <si>
    <t>Motor Bike</t>
  </si>
  <si>
    <t>Mobile</t>
  </si>
  <si>
    <t>Electric Installation</t>
  </si>
  <si>
    <t>Fans and Cooler</t>
  </si>
  <si>
    <t>Office equipment</t>
  </si>
  <si>
    <t xml:space="preserve">Note </t>
  </si>
  <si>
    <t>For the opening block depreciation applied</t>
  </si>
  <si>
    <t>For additions during the year depreciation applied</t>
  </si>
  <si>
    <t xml:space="preserve">Fixed Assets </t>
  </si>
  <si>
    <t>Gross Block</t>
  </si>
  <si>
    <t>Accumulated Depreciation</t>
  </si>
  <si>
    <t>Net Block</t>
  </si>
  <si>
    <t>Code</t>
  </si>
  <si>
    <t>As at April 1, 2023</t>
  </si>
  <si>
    <t>Additions</t>
  </si>
  <si>
    <t>Deductions</t>
  </si>
  <si>
    <t>As at March 31, 2024</t>
  </si>
  <si>
    <t>Upto April 1, 2023</t>
  </si>
  <si>
    <t>During the year</t>
  </si>
  <si>
    <t>Upto March 31, 2024</t>
  </si>
  <si>
    <t>As ar March 31, 2023</t>
  </si>
  <si>
    <t>Tangible Assets</t>
  </si>
  <si>
    <t>Opening Balance</t>
  </si>
  <si>
    <t>Deletions</t>
  </si>
  <si>
    <t xml:space="preserve">Depreciation </t>
  </si>
  <si>
    <t>Closing Balance</t>
  </si>
  <si>
    <t>Balance As on 01-04-2024</t>
  </si>
  <si>
    <t>Additions during the Year</t>
  </si>
  <si>
    <t>Disposals during the Year</t>
  </si>
  <si>
    <t>Depreciation during the year</t>
  </si>
  <si>
    <t>Balance as on 31-03-2025</t>
  </si>
  <si>
    <t>Tangible Assets :</t>
  </si>
  <si>
    <t>Machinery and Tools (including machinery for Inverter Factory)</t>
  </si>
  <si>
    <t xml:space="preserve">Includes the addition of 5 Cr equipment for Inverter factory. </t>
  </si>
  <si>
    <t xml:space="preserve">TOTAL </t>
  </si>
  <si>
    <t>Balance As on 01-04-2025</t>
  </si>
  <si>
    <t>Balance as on 31-03-2026</t>
  </si>
  <si>
    <t>Balance As on 01-04-2026</t>
  </si>
  <si>
    <t>Balance as on 31-03-2027</t>
  </si>
  <si>
    <t>Balance As on 01-04-2027</t>
  </si>
  <si>
    <t>Balance as on 31-03-2028</t>
  </si>
  <si>
    <t>Income Tax Schedule</t>
  </si>
  <si>
    <t xml:space="preserve">Figures in INRCrores </t>
  </si>
  <si>
    <t xml:space="preserve">PBT as per books </t>
  </si>
  <si>
    <t>Add: Book Depreciation</t>
  </si>
  <si>
    <t>Less: Income tax Depreciation</t>
  </si>
  <si>
    <t>less: profit on the sale of assets</t>
  </si>
  <si>
    <t>Tax PBT</t>
  </si>
  <si>
    <t>Carry Forward of Losses</t>
  </si>
  <si>
    <t>Usage</t>
  </si>
  <si>
    <t>Taxable Income</t>
  </si>
  <si>
    <t xml:space="preserve">Tax to be paid </t>
  </si>
  <si>
    <t>MAT Tax Rate</t>
  </si>
  <si>
    <t>Minimum Alternate tax</t>
  </si>
  <si>
    <t xml:space="preserve">Tax Depreciation Schedule </t>
  </si>
  <si>
    <t xml:space="preserve">All figures are in absolute </t>
  </si>
  <si>
    <t>For assets put to use for &lt;180days</t>
  </si>
  <si>
    <t>Block of Assets</t>
  </si>
  <si>
    <t>Rate</t>
  </si>
  <si>
    <t xml:space="preserve">Code </t>
  </si>
  <si>
    <t>WDV as on April 1, 2022</t>
  </si>
  <si>
    <t>Additions more than 180 days</t>
  </si>
  <si>
    <t>Additions less than 180 Days</t>
  </si>
  <si>
    <t xml:space="preserve">deletions </t>
  </si>
  <si>
    <t>WDV as on March 31, 2023</t>
  </si>
  <si>
    <t>Furniture and Fittings</t>
  </si>
  <si>
    <t xml:space="preserve">P&amp;M </t>
  </si>
  <si>
    <t xml:space="preserve">P&amp;M - computers etc </t>
  </si>
  <si>
    <t>WDV as on April 1, 2023</t>
  </si>
  <si>
    <t>WDV as on March 31, 2024</t>
  </si>
  <si>
    <t>Opening WDV</t>
  </si>
  <si>
    <t>Closing WDV</t>
  </si>
  <si>
    <t xml:space="preserve">No. of distributors </t>
  </si>
  <si>
    <t>Business through distributors (INR)</t>
  </si>
  <si>
    <t xml:space="preserve">Total Company level revenue </t>
  </si>
  <si>
    <t xml:space="preserve">Business per distributor </t>
  </si>
  <si>
    <t xml:space="preserve">Monthly Revenue per Active distributor </t>
  </si>
  <si>
    <t>No. of distributors ( same unique distributors)</t>
  </si>
  <si>
    <t>starting from Oct'22 untill Dec' 22. Sales from Jan'23 untill Jun'24</t>
  </si>
  <si>
    <t>based on mgt selection of 30 distributors who joined in Oct'22</t>
  </si>
  <si>
    <t xml:space="preserve">EBO Maturity Expections </t>
  </si>
  <si>
    <t xml:space="preserve">Avg revenue per EBO - current </t>
  </si>
  <si>
    <t xml:space="preserve">dec'22 EBOs behaviour from Jan'23 to Jun'24 </t>
  </si>
  <si>
    <t>Avg revenue per EBO - future</t>
  </si>
  <si>
    <t>Retailers *</t>
  </si>
  <si>
    <t xml:space="preserve">No. of Retailers </t>
  </si>
  <si>
    <t>East</t>
  </si>
  <si>
    <t xml:space="preserve">*Management estimate, we don’t need exact numbers </t>
  </si>
  <si>
    <t>Average Annual EBO Revenues Computation</t>
  </si>
  <si>
    <t>INR Cr</t>
  </si>
  <si>
    <t>Particular</t>
  </si>
  <si>
    <t>Historical</t>
  </si>
  <si>
    <t>Provisional</t>
  </si>
  <si>
    <t>Forecasted</t>
  </si>
  <si>
    <t>Total Revenue for the period from Domestic Distribution</t>
  </si>
  <si>
    <t>Revenue attributable to EBOs</t>
  </si>
  <si>
    <t>Total Number of EBOs during the year (units)</t>
  </si>
  <si>
    <t>Average Annual Revenue per EBO</t>
  </si>
  <si>
    <t>Revenue attributable to Non-EBO distributors</t>
  </si>
  <si>
    <t>Total Number of Non-EBO distributors during the year (units)</t>
  </si>
  <si>
    <t>Average Annual Revenue per Non-EBO Distributor</t>
  </si>
  <si>
    <t>Average Monthly EBO Revenues Computation</t>
  </si>
  <si>
    <t>Total Revenue for the month</t>
  </si>
  <si>
    <t>Montly revenue attributable to EBOs</t>
  </si>
  <si>
    <t>No. of distributors that placed orders (units)</t>
  </si>
  <si>
    <t>Total Number of EBOs that placed orders (units)</t>
  </si>
  <si>
    <t>Average Monthly Revenue per EBO</t>
  </si>
  <si>
    <t>Montly revenue attributable to Non-EBOs distributor</t>
  </si>
  <si>
    <t>Total Number of Non-EBO distributors that placed orders (units)</t>
  </si>
  <si>
    <t>Average Monthly Revenue per Non-EBO Distributor</t>
  </si>
  <si>
    <t xml:space="preserve">Legal &amp; professional Charges  (includes compliance cost, Star rating &amp; BIS of each product model. </t>
  </si>
  <si>
    <t>Furniture and Fixtures (development cost)</t>
  </si>
  <si>
    <t>Gross Capacity (in MW)</t>
  </si>
  <si>
    <t>Capacity utilisation factor - subject to max 85%</t>
  </si>
  <si>
    <t xml:space="preserve">Space required in sq ft per MW </t>
  </si>
  <si>
    <r>
      <t xml:space="preserve">Revenue from Manufacturing Plant - Domestic Distribution of PV Modules  - </t>
    </r>
    <r>
      <rPr>
        <b/>
        <sz val="10"/>
        <color rgb="FFFF0000"/>
        <rFont val="Arial"/>
        <family val="2"/>
      </rPr>
      <t>Incorporated in the above distribution network</t>
    </r>
  </si>
  <si>
    <t xml:space="preserve">For FY 25 currently operating at Inventory of INR 30 Cr </t>
  </si>
  <si>
    <t xml:space="preserve">60 days from ordering to import + 15 days stocking. However given that the company will be manufacturing and will have better control over supplies, 50-60 days inventory would be sufficient. </t>
  </si>
  <si>
    <t xml:space="preserve">Cost in Crores per MW </t>
  </si>
  <si>
    <t>Total Operating Revenues</t>
  </si>
  <si>
    <t>MARCH(2024)</t>
  </si>
  <si>
    <t>MARCH(2023)</t>
  </si>
  <si>
    <t>MARCH(2022)</t>
  </si>
  <si>
    <t>Cost of Goods Sold</t>
  </si>
  <si>
    <t>Purchases</t>
  </si>
  <si>
    <t>Import Purchase</t>
  </si>
  <si>
    <t>Custom Duty</t>
  </si>
  <si>
    <t>-</t>
  </si>
  <si>
    <t>Import Expenses</t>
  </si>
  <si>
    <t>Packing Materials</t>
  </si>
  <si>
    <t>Freight Inwards</t>
  </si>
  <si>
    <t>Freight Import</t>
  </si>
  <si>
    <t>Insurance Goods in Transit</t>
  </si>
  <si>
    <t>Loading and Unloading charges</t>
  </si>
  <si>
    <t>Total Cost of Goods Sold</t>
  </si>
  <si>
    <t>Changes in Stock</t>
  </si>
  <si>
    <t>Opening Stock</t>
  </si>
  <si>
    <t>Closing Stock</t>
  </si>
  <si>
    <t>Stock (Increased/Decreased)</t>
  </si>
  <si>
    <t>Employee Benefit Expenses</t>
  </si>
  <si>
    <t>Salaries</t>
  </si>
  <si>
    <t>Director Remuneration &amp; Perks</t>
  </si>
  <si>
    <t>Leave Encashment</t>
  </si>
  <si>
    <t>Incentive to staff</t>
  </si>
  <si>
    <t>Staff Welfare</t>
  </si>
  <si>
    <t>ESI Pf employer Contribution</t>
  </si>
  <si>
    <t>Total Employee Benefit Expenses</t>
  </si>
  <si>
    <t>Bank Charges &amp; Interest</t>
  </si>
  <si>
    <t>Interest On Unsecured Loan(Foreign)</t>
  </si>
  <si>
    <t>Payment Collection Charges</t>
  </si>
  <si>
    <t>Interest on Satutory Dues</t>
  </si>
  <si>
    <t>Total Finance Costs</t>
  </si>
  <si>
    <t>Depreciation and Amortization Expenses</t>
  </si>
  <si>
    <t>Other Expenses</t>
  </si>
  <si>
    <t>Accountancy Charges</t>
  </si>
  <si>
    <t>Administration Expenses</t>
  </si>
  <si>
    <t>Advertisement Expenses</t>
  </si>
  <si>
    <t>Apprentice and Training Expenses</t>
  </si>
  <si>
    <t>Attandance and Online Usage</t>
  </si>
  <si>
    <t>Audit Fees</t>
  </si>
  <si>
    <t>Affiliate Marketing Expense</t>
  </si>
  <si>
    <t>BIS Certification Expenses</t>
  </si>
  <si>
    <t>Business Promotion Expenses</t>
  </si>
  <si>
    <t>Charity And Donation</t>
  </si>
  <si>
    <t>Clearing &amp; Forwarding Expenses</t>
  </si>
  <si>
    <t>Commission Paid</t>
  </si>
  <si>
    <t>Computer rent</t>
  </si>
  <si>
    <t>Conveyance Expenses</t>
  </si>
  <si>
    <t>Festival Expenses</t>
  </si>
  <si>
    <t>Fine &amp; penalty</t>
  </si>
  <si>
    <t>Fuel Expenses</t>
  </si>
  <si>
    <t>Guest House Expenses</t>
  </si>
  <si>
    <t>Installation Charges and Engineer viusit</t>
  </si>
  <si>
    <t>Insurance Expenses</t>
  </si>
  <si>
    <t>Legal and Proffessional Charges</t>
  </si>
  <si>
    <t>Loss in Transit</t>
  </si>
  <si>
    <t>Loss on Shares</t>
  </si>
  <si>
    <t>Marketing Expenses</t>
  </si>
  <si>
    <t>Membership &amp; Subscription</t>
  </si>
  <si>
    <t>Material Scraped</t>
  </si>
  <si>
    <t>Office Expense</t>
  </si>
  <si>
    <t>Postage and Courier Charges</t>
  </si>
  <si>
    <t>Power &amp; Electricity Expenses</t>
  </si>
  <si>
    <t>Printing &amp; Stationary</t>
  </si>
  <si>
    <t>Rate Taxes and fees</t>
  </si>
  <si>
    <t>Rebate Discount</t>
  </si>
  <si>
    <t>Research and development Expenses</t>
  </si>
  <si>
    <t>Recruitment Expenses</t>
  </si>
  <si>
    <t>Rent Paid</t>
  </si>
  <si>
    <t>Repair and Maintenance</t>
  </si>
  <si>
    <t>Security Expenses</t>
  </si>
  <si>
    <t>Short &amp; Excess</t>
  </si>
  <si>
    <t>Software &amp; Email Maintenance expenses</t>
  </si>
  <si>
    <t>Telephone &amp; Internet</t>
  </si>
  <si>
    <t>Testing Charges</t>
  </si>
  <si>
    <t>Travelling Expenses</t>
  </si>
  <si>
    <t>Vehicle Running Expenses</t>
  </si>
  <si>
    <t>Warehouse storage Charges</t>
  </si>
  <si>
    <t>water expenses</t>
  </si>
  <si>
    <t>Website maintenance Expenses</t>
  </si>
  <si>
    <t>Total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</si>
</sst>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  <numFmt numFmtId="167" formatCode="0.0%"/>
    <numFmt numFmtId="168" formatCode="dd\-mm\-yyyy"/>
    <numFmt numFmtId="169" formatCode="_-* #,##0_-;\-* #,##0_-;_-* &quot;-&quot;??_-;_-@_-"/>
    <numFmt numFmtId="170" formatCode="_-* #,##0.00_-;\-* #,##0.00_-;_-* &quot;-&quot;??_-;_-@_-"/>
    <numFmt numFmtId="171" formatCode="_(* #,##0.00000_);_(* \(#,##0.00000\);_(* &quot;-&quot;??_);_(@_)"/>
    <numFmt numFmtId="172" formatCode="_(* #,##0_);_(* \(#,##0\);_(* &quot;-&quot;?_);_(@_)"/>
    <numFmt numFmtId="173" formatCode="_(* #,##0.0_);_(* \(#,##0.0\);_(* &quot;-&quot;??_);_(@_)"/>
    <numFmt numFmtId="174" formatCode="_ * #,##0.0_ ;_ * \-#,##0.0_ ;_ * &quot;-&quot;?_ ;_ @_ "/>
    <numFmt numFmtId="175" formatCode="_ * #,##0.0_ ;_ * \-#,##0.0_ ;_ * &quot;-&quot;??_ ;_ @_ "/>
    <numFmt numFmtId="176" formatCode="_ * #,##0.000_ ;_ * \-#,##0.000_ ;_ * &quot;-&quot;??_ ;_ @_ "/>
  </numFmts>
  <fonts count="7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26"/>
      <color theme="4" tint="-0.499984740745262"/>
      <name val="Arial"/>
      <family val="2"/>
    </font>
    <font>
      <i/>
      <sz val="9"/>
      <color theme="1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i/>
      <sz val="9"/>
      <color theme="0"/>
      <name val="Arial"/>
      <family val="2"/>
    </font>
    <font>
      <i/>
      <sz val="8"/>
      <color theme="1"/>
      <name val="Arial"/>
      <family val="2"/>
    </font>
    <font>
      <i/>
      <sz val="8"/>
      <color theme="0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b/>
      <sz val="26"/>
      <color rgb="FF00206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rgb="FFFF0000"/>
      <name val="Arial"/>
      <family val="2"/>
    </font>
    <font>
      <b/>
      <i/>
      <sz val="9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 "/>
    </font>
    <font>
      <b/>
      <i/>
      <sz val="9"/>
      <name val="Arial"/>
      <family val="2"/>
    </font>
    <font>
      <i/>
      <sz val="8"/>
      <color rgb="FFFF0000"/>
      <name val="Arial"/>
      <family val="2"/>
    </font>
    <font>
      <i/>
      <sz val="10"/>
      <color theme="1"/>
      <name val="Arial"/>
      <family val="2"/>
    </font>
    <font>
      <b/>
      <u/>
      <sz val="14"/>
      <color rgb="FFFF0000"/>
      <name val="Arial"/>
      <family val="2"/>
    </font>
    <font>
      <b/>
      <u/>
      <sz val="10"/>
      <color theme="1"/>
      <name val="Arial"/>
      <family val="2"/>
    </font>
    <font>
      <i/>
      <sz val="9"/>
      <color theme="9" tint="-0.249977111117893"/>
      <name val="Arial"/>
      <family val="2"/>
    </font>
    <font>
      <i/>
      <sz val="12"/>
      <color rgb="FFFF0000"/>
      <name val="Arial"/>
      <family val="2"/>
    </font>
    <font>
      <sz val="9"/>
      <color rgb="FFC00000"/>
      <name val="Arial"/>
      <family val="2"/>
    </font>
    <font>
      <b/>
      <i/>
      <sz val="9"/>
      <color rgb="FFC00000"/>
      <name val="Arial"/>
      <family val="2"/>
    </font>
    <font>
      <b/>
      <sz val="9"/>
      <color theme="4" tint="-0.499984740745262"/>
      <name val="Arial"/>
      <family val="2"/>
    </font>
    <font>
      <b/>
      <i/>
      <sz val="9"/>
      <color rgb="FFAB0E1E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i/>
      <sz val="8"/>
      <name val="Arial"/>
      <family val="2"/>
    </font>
    <font>
      <b/>
      <sz val="9"/>
      <color indexed="81"/>
      <name val="Tahoma"/>
      <family val="2"/>
    </font>
    <font>
      <sz val="10"/>
      <color theme="3" tint="0.249977111117893"/>
      <name val="Arial"/>
      <family val="2"/>
    </font>
    <font>
      <b/>
      <sz val="10"/>
      <color theme="4" tint="-0.499984740745262"/>
      <name val="Arial"/>
      <family val="2"/>
    </font>
    <font>
      <i/>
      <sz val="10"/>
      <name val="Arial"/>
      <family val="2"/>
    </font>
    <font>
      <sz val="11"/>
      <color theme="0"/>
      <name val="Arial"/>
      <family val="2"/>
    </font>
    <font>
      <b/>
      <sz val="18"/>
      <color theme="1"/>
      <name val="Arial"/>
      <family val="2"/>
    </font>
    <font>
      <b/>
      <sz val="11"/>
      <name val="Arial"/>
      <family val="2"/>
    </font>
    <font>
      <b/>
      <sz val="14"/>
      <color theme="1"/>
      <name val="Aptos Narrow"/>
      <family val="2"/>
      <scheme val="minor"/>
    </font>
    <font>
      <i/>
      <sz val="9"/>
      <name val="Arial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 (Body)"/>
    </font>
    <font>
      <b/>
      <sz val="9"/>
      <color rgb="FFC00000"/>
      <name val="Arial"/>
      <family val="2"/>
    </font>
    <font>
      <b/>
      <sz val="11"/>
      <name val="Aptos Narrow"/>
      <family val="2"/>
      <scheme val="minor"/>
    </font>
    <font>
      <i/>
      <sz val="9"/>
      <color rgb="FFFF0000"/>
      <name val="Arial"/>
      <family val="2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theme="1"/>
      <name val="Aptos Narrow"/>
      <family val="2"/>
    </font>
    <font>
      <b/>
      <sz val="10"/>
      <color rgb="FF000000"/>
      <name val="Aptos Narrow"/>
      <family val="2"/>
    </font>
    <font>
      <sz val="10"/>
      <color rgb="FF000000"/>
      <name val="Aptos Narrow"/>
      <family val="2"/>
    </font>
    <font>
      <sz val="12"/>
      <color theme="1"/>
      <name val="Aptos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sz val="9"/>
      <color theme="9" tint="-0.249977111117893"/>
      <name val="Arial"/>
      <family val="2"/>
    </font>
    <font>
      <b/>
      <u/>
      <sz val="10"/>
      <color rgb="FFFF0000"/>
      <name val="Arial"/>
      <family val="2"/>
    </font>
    <font>
      <u/>
      <sz val="10"/>
      <color rgb="FFFF0000"/>
      <name val="Arial"/>
      <family val="2"/>
    </font>
    <font>
      <sz val="8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AB0E1E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6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 style="double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/>
    <xf numFmtId="0" fontId="1" fillId="0" borderId="0"/>
    <xf numFmtId="164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69">
    <xf numFmtId="0" fontId="0" fillId="0" borderId="0" xfId="0"/>
    <xf numFmtId="0" fontId="2" fillId="3" borderId="0" xfId="0" applyFont="1" applyFill="1"/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/>
    <xf numFmtId="0" fontId="7" fillId="4" borderId="0" xfId="0" applyFont="1" applyFill="1" applyAlignment="1">
      <alignment vertical="top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 wrapText="1"/>
    </xf>
    <xf numFmtId="0" fontId="10" fillId="0" borderId="0" xfId="0" applyFont="1" applyAlignment="1">
      <alignment vertical="top"/>
    </xf>
    <xf numFmtId="164" fontId="10" fillId="0" borderId="0" xfId="1" applyFont="1" applyAlignment="1">
      <alignment vertical="top"/>
    </xf>
    <xf numFmtId="164" fontId="10" fillId="0" borderId="0" xfId="1" applyFont="1" applyFill="1" applyAlignment="1">
      <alignment vertical="top"/>
    </xf>
    <xf numFmtId="0" fontId="8" fillId="0" borderId="3" xfId="0" applyFont="1" applyBorder="1" applyAlignment="1">
      <alignment vertical="top"/>
    </xf>
    <xf numFmtId="164" fontId="8" fillId="0" borderId="3" xfId="0" applyNumberFormat="1" applyFont="1" applyBorder="1" applyAlignment="1">
      <alignment vertical="top"/>
    </xf>
    <xf numFmtId="0" fontId="8" fillId="0" borderId="4" xfId="0" applyFont="1" applyBorder="1" applyAlignment="1">
      <alignment vertical="top"/>
    </xf>
    <xf numFmtId="164" fontId="8" fillId="0" borderId="4" xfId="0" applyNumberFormat="1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2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wrapText="1"/>
    </xf>
    <xf numFmtId="0" fontId="8" fillId="8" borderId="2" xfId="0" applyFont="1" applyFill="1" applyBorder="1" applyAlignment="1">
      <alignment horizontal="center" wrapText="1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64" fontId="8" fillId="0" borderId="0" xfId="1" applyFont="1" applyAlignment="1">
      <alignment vertical="top"/>
    </xf>
    <xf numFmtId="164" fontId="8" fillId="0" borderId="0" xfId="1" applyFont="1" applyFill="1" applyAlignment="1">
      <alignment vertical="top"/>
    </xf>
    <xf numFmtId="164" fontId="8" fillId="0" borderId="0" xfId="0" applyNumberFormat="1" applyFont="1" applyAlignment="1">
      <alignment vertical="top"/>
    </xf>
    <xf numFmtId="0" fontId="7" fillId="4" borderId="9" xfId="0" applyFont="1" applyFill="1" applyBorder="1" applyAlignment="1">
      <alignment vertical="top"/>
    </xf>
    <xf numFmtId="0" fontId="13" fillId="0" borderId="13" xfId="0" applyFont="1" applyBorder="1" applyAlignment="1">
      <alignment vertical="center"/>
    </xf>
    <xf numFmtId="0" fontId="12" fillId="0" borderId="0" xfId="0" applyFont="1"/>
    <xf numFmtId="164" fontId="12" fillId="0" borderId="0" xfId="1" applyFont="1"/>
    <xf numFmtId="164" fontId="9" fillId="4" borderId="0" xfId="1" applyFont="1" applyFill="1"/>
    <xf numFmtId="164" fontId="12" fillId="0" borderId="0" xfId="1" applyFont="1" applyFill="1"/>
    <xf numFmtId="0" fontId="19" fillId="0" borderId="0" xfId="0" applyFont="1"/>
    <xf numFmtId="10" fontId="19" fillId="0" borderId="0" xfId="2" applyNumberFormat="1" applyFont="1"/>
    <xf numFmtId="10" fontId="20" fillId="4" borderId="0" xfId="2" applyNumberFormat="1" applyFont="1" applyFill="1"/>
    <xf numFmtId="10" fontId="19" fillId="0" borderId="0" xfId="2" applyNumberFormat="1" applyFont="1" applyFill="1"/>
    <xf numFmtId="10" fontId="19" fillId="0" borderId="0" xfId="0" applyNumberFormat="1" applyFont="1"/>
    <xf numFmtId="10" fontId="20" fillId="4" borderId="0" xfId="0" applyNumberFormat="1" applyFont="1" applyFill="1"/>
    <xf numFmtId="2" fontId="0" fillId="0" borderId="0" xfId="0" applyNumberFormat="1"/>
    <xf numFmtId="10" fontId="20" fillId="4" borderId="0" xfId="1" applyNumberFormat="1" applyFont="1" applyFill="1"/>
    <xf numFmtId="10" fontId="19" fillId="0" borderId="0" xfId="1" applyNumberFormat="1" applyFont="1" applyFill="1"/>
    <xf numFmtId="0" fontId="13" fillId="0" borderId="0" xfId="0" applyFont="1"/>
    <xf numFmtId="0" fontId="11" fillId="4" borderId="0" xfId="0" applyFont="1" applyFill="1"/>
    <xf numFmtId="0" fontId="13" fillId="0" borderId="0" xfId="0" applyFont="1" applyAlignment="1">
      <alignment horizontal="left" indent="1"/>
    </xf>
    <xf numFmtId="164" fontId="13" fillId="0" borderId="0" xfId="1" applyFont="1"/>
    <xf numFmtId="164" fontId="11" fillId="4" borderId="0" xfId="1" applyFont="1" applyFill="1"/>
    <xf numFmtId="164" fontId="13" fillId="0" borderId="0" xfId="1" applyFont="1" applyFill="1"/>
    <xf numFmtId="0" fontId="12" fillId="0" borderId="0" xfId="0" applyFont="1" applyAlignment="1">
      <alignment horizontal="left"/>
    </xf>
    <xf numFmtId="0" fontId="3" fillId="0" borderId="0" xfId="0" applyFont="1"/>
    <xf numFmtId="9" fontId="21" fillId="0" borderId="0" xfId="2" applyFont="1"/>
    <xf numFmtId="2" fontId="21" fillId="0" borderId="0" xfId="2" applyNumberFormat="1" applyFont="1"/>
    <xf numFmtId="2" fontId="18" fillId="4" borderId="0" xfId="2" applyNumberFormat="1" applyFont="1" applyFill="1"/>
    <xf numFmtId="2" fontId="21" fillId="0" borderId="0" xfId="2" applyNumberFormat="1" applyFont="1" applyFill="1"/>
    <xf numFmtId="10" fontId="21" fillId="0" borderId="0" xfId="2" applyNumberFormat="1" applyFont="1"/>
    <xf numFmtId="10" fontId="18" fillId="4" borderId="0" xfId="2" applyNumberFormat="1" applyFont="1" applyFill="1"/>
    <xf numFmtId="10" fontId="21" fillId="0" borderId="0" xfId="2" applyNumberFormat="1" applyFont="1" applyFill="1"/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vertical="top"/>
    </xf>
    <xf numFmtId="0" fontId="12" fillId="0" borderId="3" xfId="0" applyFont="1" applyBorder="1"/>
    <xf numFmtId="164" fontId="13" fillId="0" borderId="0" xfId="0" applyNumberFormat="1" applyFont="1"/>
    <xf numFmtId="164" fontId="12" fillId="0" borderId="3" xfId="0" applyNumberFormat="1" applyFont="1" applyBorder="1"/>
    <xf numFmtId="0" fontId="10" fillId="0" borderId="0" xfId="0" applyFont="1" applyAlignment="1">
      <alignment horizontal="left" indent="1"/>
    </xf>
    <xf numFmtId="0" fontId="10" fillId="0" borderId="0" xfId="0" applyFont="1"/>
    <xf numFmtId="164" fontId="10" fillId="0" borderId="0" xfId="0" applyNumberFormat="1" applyFont="1"/>
    <xf numFmtId="0" fontId="12" fillId="10" borderId="0" xfId="0" applyFont="1" applyFill="1" applyAlignment="1">
      <alignment horizontal="left"/>
    </xf>
    <xf numFmtId="0" fontId="12" fillId="10" borderId="0" xfId="0" applyFont="1" applyFill="1"/>
    <xf numFmtId="164" fontId="12" fillId="0" borderId="0" xfId="1" applyFont="1" applyFill="1" applyBorder="1"/>
    <xf numFmtId="0" fontId="24" fillId="0" borderId="0" xfId="0" applyFont="1" applyAlignment="1">
      <alignment vertical="top"/>
    </xf>
    <xf numFmtId="0" fontId="25" fillId="0" borderId="0" xfId="0" applyFont="1"/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Continuous" vertical="top"/>
    </xf>
    <xf numFmtId="0" fontId="25" fillId="0" borderId="0" xfId="0" applyFont="1" applyAlignment="1">
      <alignment horizontal="centerContinuous"/>
    </xf>
    <xf numFmtId="0" fontId="25" fillId="9" borderId="0" xfId="0" applyFont="1" applyFill="1"/>
    <xf numFmtId="0" fontId="7" fillId="0" borderId="0" xfId="0" applyFont="1" applyAlignment="1">
      <alignment vertical="top"/>
    </xf>
    <xf numFmtId="0" fontId="7" fillId="0" borderId="0" xfId="0" applyFont="1"/>
    <xf numFmtId="0" fontId="7" fillId="4" borderId="0" xfId="0" applyFont="1" applyFill="1" applyAlignment="1">
      <alignment horizontal="center"/>
    </xf>
    <xf numFmtId="0" fontId="22" fillId="5" borderId="0" xfId="0" applyFont="1" applyFill="1" applyAlignment="1">
      <alignment vertical="top" wrapText="1"/>
    </xf>
    <xf numFmtId="0" fontId="22" fillId="5" borderId="14" xfId="0" applyFont="1" applyFill="1" applyBorder="1" applyAlignment="1">
      <alignment vertical="top" wrapText="1"/>
    </xf>
    <xf numFmtId="0" fontId="22" fillId="5" borderId="16" xfId="0" applyFont="1" applyFill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2" fillId="12" borderId="0" xfId="0" applyFont="1" applyFill="1" applyAlignment="1">
      <alignment vertical="top"/>
    </xf>
    <xf numFmtId="0" fontId="22" fillId="12" borderId="14" xfId="0" applyFont="1" applyFill="1" applyBorder="1" applyAlignment="1">
      <alignment vertical="top"/>
    </xf>
    <xf numFmtId="0" fontId="22" fillId="12" borderId="16" xfId="0" applyFont="1" applyFill="1" applyBorder="1" applyAlignment="1">
      <alignment vertical="top"/>
    </xf>
    <xf numFmtId="0" fontId="25" fillId="0" borderId="14" xfId="0" applyFont="1" applyBorder="1" applyAlignment="1">
      <alignment vertical="top"/>
    </xf>
    <xf numFmtId="166" fontId="25" fillId="0" borderId="0" xfId="3" applyNumberFormat="1" applyFont="1"/>
    <xf numFmtId="166" fontId="25" fillId="0" borderId="0" xfId="3" applyNumberFormat="1" applyFont="1" applyAlignment="1">
      <alignment vertical="top"/>
    </xf>
    <xf numFmtId="166" fontId="25" fillId="0" borderId="16" xfId="3" applyNumberFormat="1" applyFont="1" applyBorder="1" applyAlignment="1">
      <alignment vertical="top"/>
    </xf>
    <xf numFmtId="0" fontId="25" fillId="0" borderId="16" xfId="0" applyFont="1" applyBorder="1" applyAlignment="1">
      <alignment vertical="top"/>
    </xf>
    <xf numFmtId="0" fontId="25" fillId="0" borderId="17" xfId="0" applyFont="1" applyBorder="1" applyAlignment="1">
      <alignment vertical="top"/>
    </xf>
    <xf numFmtId="166" fontId="25" fillId="0" borderId="18" xfId="3" applyNumberFormat="1" applyFont="1" applyBorder="1" applyAlignment="1">
      <alignment vertical="top"/>
    </xf>
    <xf numFmtId="166" fontId="25" fillId="0" borderId="20" xfId="3" applyNumberFormat="1" applyFont="1" applyBorder="1" applyAlignment="1">
      <alignment vertical="top"/>
    </xf>
    <xf numFmtId="0" fontId="25" fillId="0" borderId="18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25" fillId="0" borderId="21" xfId="0" applyFont="1" applyBorder="1"/>
    <xf numFmtId="0" fontId="25" fillId="0" borderId="21" xfId="0" applyFont="1" applyBorder="1" applyAlignment="1">
      <alignment vertical="top"/>
    </xf>
    <xf numFmtId="166" fontId="25" fillId="0" borderId="22" xfId="3" applyNumberFormat="1" applyFont="1" applyBorder="1" applyAlignment="1">
      <alignment vertical="top"/>
    </xf>
    <xf numFmtId="166" fontId="25" fillId="0" borderId="4" xfId="3" applyNumberFormat="1" applyFont="1" applyBorder="1"/>
    <xf numFmtId="166" fontId="25" fillId="0" borderId="4" xfId="3" applyNumberFormat="1" applyFont="1" applyBorder="1" applyAlignment="1">
      <alignment vertical="top"/>
    </xf>
    <xf numFmtId="0" fontId="22" fillId="12" borderId="0" xfId="0" applyFont="1" applyFill="1"/>
    <xf numFmtId="166" fontId="22" fillId="12" borderId="0" xfId="3" applyNumberFormat="1" applyFont="1" applyFill="1"/>
    <xf numFmtId="166" fontId="22" fillId="12" borderId="16" xfId="3" applyNumberFormat="1" applyFont="1" applyFill="1" applyBorder="1"/>
    <xf numFmtId="0" fontId="22" fillId="12" borderId="16" xfId="0" applyFont="1" applyFill="1" applyBorder="1"/>
    <xf numFmtId="0" fontId="25" fillId="12" borderId="0" xfId="0" applyFont="1" applyFill="1"/>
    <xf numFmtId="0" fontId="25" fillId="12" borderId="0" xfId="0" applyFont="1" applyFill="1" applyAlignment="1">
      <alignment vertical="top"/>
    </xf>
    <xf numFmtId="166" fontId="25" fillId="12" borderId="0" xfId="3" applyNumberFormat="1" applyFont="1" applyFill="1"/>
    <xf numFmtId="166" fontId="25" fillId="12" borderId="16" xfId="3" applyNumberFormat="1" applyFont="1" applyFill="1" applyBorder="1"/>
    <xf numFmtId="0" fontId="25" fillId="12" borderId="16" xfId="0" applyFont="1" applyFill="1" applyBorder="1"/>
    <xf numFmtId="0" fontId="25" fillId="0" borderId="4" xfId="0" applyFont="1" applyBorder="1"/>
    <xf numFmtId="166" fontId="25" fillId="0" borderId="24" xfId="3" applyNumberFormat="1" applyFont="1" applyBorder="1" applyAlignment="1">
      <alignment vertical="top"/>
    </xf>
    <xf numFmtId="166" fontId="25" fillId="0" borderId="3" xfId="3" applyNumberFormat="1" applyFont="1" applyBorder="1" applyAlignment="1">
      <alignment vertical="top"/>
    </xf>
    <xf numFmtId="166" fontId="25" fillId="0" borderId="3" xfId="3" applyNumberFormat="1" applyFont="1" applyBorder="1"/>
    <xf numFmtId="166" fontId="25" fillId="0" borderId="25" xfId="3" applyNumberFormat="1" applyFont="1" applyBorder="1" applyAlignment="1">
      <alignment vertical="top"/>
    </xf>
    <xf numFmtId="166" fontId="25" fillId="0" borderId="0" xfId="3" applyNumberFormat="1" applyFont="1" applyBorder="1" applyAlignment="1">
      <alignment vertical="top"/>
    </xf>
    <xf numFmtId="166" fontId="25" fillId="0" borderId="0" xfId="3" applyNumberFormat="1" applyFont="1" applyBorder="1"/>
    <xf numFmtId="166" fontId="25" fillId="0" borderId="26" xfId="3" applyNumberFormat="1" applyFont="1" applyBorder="1" applyAlignment="1">
      <alignment vertical="top"/>
    </xf>
    <xf numFmtId="166" fontId="25" fillId="0" borderId="2" xfId="3" applyNumberFormat="1" applyFont="1" applyBorder="1" applyAlignment="1">
      <alignment vertical="top"/>
    </xf>
    <xf numFmtId="166" fontId="25" fillId="0" borderId="2" xfId="3" applyNumberFormat="1" applyFont="1" applyBorder="1"/>
    <xf numFmtId="166" fontId="22" fillId="0" borderId="27" xfId="3" applyNumberFormat="1" applyFont="1" applyBorder="1" applyAlignment="1">
      <alignment vertical="top"/>
    </xf>
    <xf numFmtId="166" fontId="22" fillId="0" borderId="4" xfId="3" applyNumberFormat="1" applyFont="1" applyBorder="1" applyAlignment="1">
      <alignment vertical="top"/>
    </xf>
    <xf numFmtId="166" fontId="22" fillId="0" borderId="4" xfId="3" applyNumberFormat="1" applyFont="1" applyBorder="1"/>
    <xf numFmtId="0" fontId="24" fillId="0" borderId="0" xfId="0" applyFont="1"/>
    <xf numFmtId="0" fontId="29" fillId="0" borderId="0" xfId="0" applyFont="1" applyAlignment="1">
      <alignment wrapText="1"/>
    </xf>
    <xf numFmtId="0" fontId="29" fillId="0" borderId="0" xfId="0" applyFont="1"/>
    <xf numFmtId="0" fontId="14" fillId="4" borderId="29" xfId="0" applyFont="1" applyFill="1" applyBorder="1" applyAlignment="1">
      <alignment horizontal="center"/>
    </xf>
    <xf numFmtId="0" fontId="14" fillId="4" borderId="30" xfId="0" applyFont="1" applyFill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/>
    </xf>
    <xf numFmtId="0" fontId="29" fillId="0" borderId="32" xfId="0" applyFont="1" applyBorder="1"/>
    <xf numFmtId="0" fontId="30" fillId="0" borderId="16" xfId="0" applyFont="1" applyBorder="1" applyAlignment="1">
      <alignment wrapText="1"/>
    </xf>
    <xf numFmtId="0" fontId="29" fillId="0" borderId="24" xfId="0" applyFont="1" applyBorder="1"/>
    <xf numFmtId="0" fontId="29" fillId="0" borderId="14" xfId="0" applyFont="1" applyBorder="1"/>
    <xf numFmtId="0" fontId="29" fillId="0" borderId="10" xfId="0" applyFont="1" applyBorder="1"/>
    <xf numFmtId="0" fontId="29" fillId="0" borderId="25" xfId="0" applyFont="1" applyBorder="1"/>
    <xf numFmtId="0" fontId="29" fillId="0" borderId="37" xfId="0" applyFont="1" applyBorder="1"/>
    <xf numFmtId="0" fontId="31" fillId="0" borderId="25" xfId="0" applyFont="1" applyBorder="1" applyAlignment="1">
      <alignment horizontal="left"/>
    </xf>
    <xf numFmtId="0" fontId="32" fillId="0" borderId="16" xfId="0" applyFont="1" applyBorder="1" applyAlignment="1">
      <alignment horizontal="left"/>
    </xf>
    <xf numFmtId="0" fontId="29" fillId="0" borderId="16" xfId="0" applyFont="1" applyBorder="1"/>
    <xf numFmtId="0" fontId="32" fillId="0" borderId="15" xfId="0" applyFont="1" applyBorder="1" applyAlignment="1">
      <alignment horizontal="left"/>
    </xf>
    <xf numFmtId="0" fontId="31" fillId="0" borderId="15" xfId="0" applyFont="1" applyBorder="1" applyAlignment="1">
      <alignment horizontal="left"/>
    </xf>
    <xf numFmtId="0" fontId="29" fillId="0" borderId="15" xfId="0" applyFont="1" applyBorder="1"/>
    <xf numFmtId="0" fontId="30" fillId="0" borderId="0" xfId="0" applyFont="1"/>
    <xf numFmtId="0" fontId="30" fillId="0" borderId="0" xfId="0" applyFont="1" applyAlignment="1">
      <alignment horizontal="left"/>
    </xf>
    <xf numFmtId="0" fontId="29" fillId="0" borderId="9" xfId="0" applyFont="1" applyBorder="1"/>
    <xf numFmtId="0" fontId="29" fillId="0" borderId="4" xfId="0" applyFont="1" applyBorder="1"/>
    <xf numFmtId="0" fontId="25" fillId="0" borderId="35" xfId="0" applyFont="1" applyBorder="1"/>
    <xf numFmtId="0" fontId="25" fillId="0" borderId="8" xfId="0" applyFont="1" applyBorder="1"/>
    <xf numFmtId="0" fontId="25" fillId="0" borderId="38" xfId="0" applyFont="1" applyBorder="1"/>
    <xf numFmtId="0" fontId="25" fillId="0" borderId="10" xfId="0" applyFont="1" applyBorder="1"/>
    <xf numFmtId="0" fontId="25" fillId="0" borderId="0" xfId="0" applyFont="1" applyAlignment="1">
      <alignment wrapText="1"/>
    </xf>
    <xf numFmtId="0" fontId="25" fillId="14" borderId="10" xfId="0" applyFont="1" applyFill="1" applyBorder="1"/>
    <xf numFmtId="0" fontId="25" fillId="14" borderId="0" xfId="0" applyFont="1" applyFill="1"/>
    <xf numFmtId="0" fontId="25" fillId="0" borderId="33" xfId="0" applyFont="1" applyBorder="1"/>
    <xf numFmtId="0" fontId="25" fillId="15" borderId="35" xfId="0" applyFont="1" applyFill="1" applyBorder="1"/>
    <xf numFmtId="0" fontId="25" fillId="15" borderId="13" xfId="0" applyFont="1" applyFill="1" applyBorder="1"/>
    <xf numFmtId="9" fontId="25" fillId="0" borderId="0" xfId="0" applyNumberFormat="1" applyFont="1"/>
    <xf numFmtId="0" fontId="25" fillId="0" borderId="0" xfId="0" applyFont="1" applyAlignment="1">
      <alignment horizontal="left"/>
    </xf>
    <xf numFmtId="166" fontId="25" fillId="0" borderId="0" xfId="3" applyNumberFormat="1" applyFont="1" applyFill="1" applyBorder="1"/>
    <xf numFmtId="166" fontId="25" fillId="0" borderId="0" xfId="3" applyNumberFormat="1" applyFont="1" applyFill="1" applyBorder="1" applyAlignment="1">
      <alignment vertical="top"/>
    </xf>
    <xf numFmtId="0" fontId="25" fillId="0" borderId="41" xfId="0" applyFont="1" applyBorder="1" applyAlignment="1">
      <alignment vertical="top"/>
    </xf>
    <xf numFmtId="165" fontId="25" fillId="0" borderId="0" xfId="1" applyNumberFormat="1" applyFont="1" applyFill="1" applyBorder="1" applyAlignment="1">
      <alignment vertical="top"/>
    </xf>
    <xf numFmtId="0" fontId="25" fillId="16" borderId="0" xfId="0" applyFont="1" applyFill="1"/>
    <xf numFmtId="0" fontId="25" fillId="16" borderId="0" xfId="0" applyFont="1" applyFill="1" applyAlignment="1">
      <alignment vertical="top"/>
    </xf>
    <xf numFmtId="166" fontId="25" fillId="16" borderId="0" xfId="3" applyNumberFormat="1" applyFont="1" applyFill="1" applyBorder="1"/>
    <xf numFmtId="166" fontId="25" fillId="16" borderId="0" xfId="3" applyNumberFormat="1" applyFont="1" applyFill="1" applyBorder="1" applyAlignment="1">
      <alignment vertical="top"/>
    </xf>
    <xf numFmtId="0" fontId="26" fillId="16" borderId="0" xfId="0" applyFont="1" applyFill="1" applyAlignment="1">
      <alignment vertical="top"/>
    </xf>
    <xf numFmtId="165" fontId="25" fillId="0" borderId="0" xfId="1" applyNumberFormat="1" applyFont="1"/>
    <xf numFmtId="0" fontId="22" fillId="16" borderId="0" xfId="0" applyFont="1" applyFill="1"/>
    <xf numFmtId="165" fontId="25" fillId="0" borderId="35" xfId="1" applyNumberFormat="1" applyFont="1" applyBorder="1"/>
    <xf numFmtId="9" fontId="25" fillId="0" borderId="35" xfId="0" applyNumberFormat="1" applyFont="1" applyBorder="1"/>
    <xf numFmtId="0" fontId="26" fillId="16" borderId="0" xfId="0" applyFont="1" applyFill="1"/>
    <xf numFmtId="165" fontId="25" fillId="0" borderId="38" xfId="1" applyNumberFormat="1" applyFont="1" applyBorder="1"/>
    <xf numFmtId="0" fontId="22" fillId="17" borderId="40" xfId="0" applyFont="1" applyFill="1" applyBorder="1"/>
    <xf numFmtId="165" fontId="22" fillId="17" borderId="40" xfId="0" applyNumberFormat="1" applyFont="1" applyFill="1" applyBorder="1"/>
    <xf numFmtId="0" fontId="25" fillId="18" borderId="38" xfId="0" applyFont="1" applyFill="1" applyBorder="1"/>
    <xf numFmtId="165" fontId="25" fillId="18" borderId="38" xfId="1" applyNumberFormat="1" applyFont="1" applyFill="1" applyBorder="1"/>
    <xf numFmtId="0" fontId="25" fillId="0" borderId="12" xfId="0" applyFont="1" applyBorder="1"/>
    <xf numFmtId="0" fontId="34" fillId="0" borderId="9" xfId="0" applyFont="1" applyBorder="1"/>
    <xf numFmtId="0" fontId="34" fillId="0" borderId="11" xfId="0" applyFont="1" applyBorder="1"/>
    <xf numFmtId="166" fontId="25" fillId="0" borderId="0" xfId="0" applyNumberFormat="1" applyFont="1" applyAlignment="1">
      <alignment vertical="top"/>
    </xf>
    <xf numFmtId="43" fontId="28" fillId="0" borderId="0" xfId="3" applyFont="1" applyFill="1"/>
    <xf numFmtId="165" fontId="25" fillId="0" borderId="0" xfId="1" applyNumberFormat="1" applyFont="1" applyAlignment="1">
      <alignment vertical="top"/>
    </xf>
    <xf numFmtId="166" fontId="25" fillId="0" borderId="3" xfId="3" applyNumberFormat="1" applyFont="1" applyFill="1" applyBorder="1"/>
    <xf numFmtId="166" fontId="25" fillId="0" borderId="3" xfId="3" applyNumberFormat="1" applyFont="1" applyFill="1" applyBorder="1" applyAlignment="1">
      <alignment vertical="top"/>
    </xf>
    <xf numFmtId="0" fontId="26" fillId="16" borderId="2" xfId="0" applyFont="1" applyFill="1" applyBorder="1" applyAlignment="1">
      <alignment vertical="top"/>
    </xf>
    <xf numFmtId="0" fontId="26" fillId="16" borderId="2" xfId="0" applyFont="1" applyFill="1" applyBorder="1"/>
    <xf numFmtId="0" fontId="25" fillId="16" borderId="2" xfId="0" applyFont="1" applyFill="1" applyBorder="1" applyAlignment="1">
      <alignment vertical="top"/>
    </xf>
    <xf numFmtId="166" fontId="25" fillId="16" borderId="2" xfId="3" applyNumberFormat="1" applyFont="1" applyFill="1" applyBorder="1"/>
    <xf numFmtId="166" fontId="25" fillId="16" borderId="2" xfId="3" applyNumberFormat="1" applyFont="1" applyFill="1" applyBorder="1" applyAlignment="1">
      <alignment vertical="top"/>
    </xf>
    <xf numFmtId="166" fontId="25" fillId="0" borderId="0" xfId="3" applyNumberFormat="1" applyFont="1" applyFill="1"/>
    <xf numFmtId="9" fontId="29" fillId="9" borderId="0" xfId="0" applyNumberFormat="1" applyFont="1" applyFill="1"/>
    <xf numFmtId="0" fontId="36" fillId="0" borderId="0" xfId="0" applyFont="1"/>
    <xf numFmtId="0" fontId="25" fillId="0" borderId="35" xfId="0" applyFont="1" applyBorder="1" applyAlignment="1">
      <alignment horizontal="left"/>
    </xf>
    <xf numFmtId="9" fontId="25" fillId="0" borderId="35" xfId="0" applyNumberFormat="1" applyFont="1" applyBorder="1" applyAlignment="1">
      <alignment horizontal="left"/>
    </xf>
    <xf numFmtId="167" fontId="25" fillId="0" borderId="35" xfId="0" applyNumberFormat="1" applyFont="1" applyBorder="1" applyAlignment="1">
      <alignment horizontal="left"/>
    </xf>
    <xf numFmtId="0" fontId="25" fillId="0" borderId="35" xfId="0" applyFont="1" applyBorder="1" applyAlignment="1">
      <alignment vertical="top" wrapText="1"/>
    </xf>
    <xf numFmtId="0" fontId="25" fillId="0" borderId="35" xfId="0" applyFont="1" applyBorder="1" applyAlignment="1">
      <alignment vertical="top"/>
    </xf>
    <xf numFmtId="165" fontId="25" fillId="0" borderId="0" xfId="1" applyNumberFormat="1" applyFont="1" applyFill="1" applyAlignment="1">
      <alignment horizontal="left"/>
    </xf>
    <xf numFmtId="165" fontId="25" fillId="0" borderId="0" xfId="1" applyNumberFormat="1" applyFont="1" applyFill="1"/>
    <xf numFmtId="9" fontId="25" fillId="0" borderId="35" xfId="0" applyNumberFormat="1" applyFont="1" applyBorder="1" applyAlignment="1">
      <alignment vertical="top"/>
    </xf>
    <xf numFmtId="0" fontId="22" fillId="11" borderId="35" xfId="0" applyFont="1" applyFill="1" applyBorder="1"/>
    <xf numFmtId="165" fontId="22" fillId="11" borderId="35" xfId="0" applyNumberFormat="1" applyFont="1" applyFill="1" applyBorder="1"/>
    <xf numFmtId="165" fontId="25" fillId="0" borderId="38" xfId="1" applyNumberFormat="1" applyFont="1" applyFill="1" applyBorder="1" applyAlignment="1">
      <alignment horizontal="left"/>
    </xf>
    <xf numFmtId="0" fontId="22" fillId="0" borderId="35" xfId="0" applyFont="1" applyBorder="1"/>
    <xf numFmtId="166" fontId="29" fillId="0" borderId="25" xfId="3" applyNumberFormat="1" applyFont="1" applyBorder="1"/>
    <xf numFmtId="166" fontId="29" fillId="0" borderId="14" xfId="3" applyNumberFormat="1" applyFont="1" applyBorder="1"/>
    <xf numFmtId="166" fontId="29" fillId="0" borderId="37" xfId="3" applyNumberFormat="1" applyFont="1" applyBorder="1"/>
    <xf numFmtId="9" fontId="29" fillId="0" borderId="14" xfId="3" applyNumberFormat="1" applyFont="1" applyBorder="1"/>
    <xf numFmtId="166" fontId="29" fillId="0" borderId="9" xfId="3" applyNumberFormat="1" applyFont="1" applyBorder="1"/>
    <xf numFmtId="166" fontId="29" fillId="0" borderId="0" xfId="3" applyNumberFormat="1" applyFont="1"/>
    <xf numFmtId="166" fontId="29" fillId="0" borderId="10" xfId="3" applyNumberFormat="1" applyFont="1" applyBorder="1"/>
    <xf numFmtId="0" fontId="29" fillId="0" borderId="22" xfId="0" applyFont="1" applyBorder="1"/>
    <xf numFmtId="0" fontId="29" fillId="0" borderId="42" xfId="0" applyFont="1" applyBorder="1"/>
    <xf numFmtId="166" fontId="29" fillId="0" borderId="22" xfId="3" applyNumberFormat="1" applyFont="1" applyBorder="1"/>
    <xf numFmtId="165" fontId="29" fillId="0" borderId="4" xfId="1" applyNumberFormat="1" applyFont="1" applyBorder="1"/>
    <xf numFmtId="0" fontId="38" fillId="0" borderId="15" xfId="0" applyFont="1" applyBorder="1" applyAlignment="1">
      <alignment horizontal="left"/>
    </xf>
    <xf numFmtId="0" fontId="38" fillId="16" borderId="15" xfId="0" applyFont="1" applyFill="1" applyBorder="1" applyAlignment="1">
      <alignment horizontal="left"/>
    </xf>
    <xf numFmtId="0" fontId="29" fillId="16" borderId="0" xfId="0" applyFont="1" applyFill="1"/>
    <xf numFmtId="0" fontId="25" fillId="0" borderId="9" xfId="0" applyFont="1" applyBorder="1" applyAlignment="1">
      <alignment vertical="top"/>
    </xf>
    <xf numFmtId="0" fontId="25" fillId="0" borderId="11" xfId="0" applyFont="1" applyBorder="1" applyAlignment="1">
      <alignment vertical="top"/>
    </xf>
    <xf numFmtId="166" fontId="25" fillId="0" borderId="7" xfId="3" applyNumberFormat="1" applyFont="1" applyBorder="1" applyAlignment="1">
      <alignment vertical="top"/>
    </xf>
    <xf numFmtId="166" fontId="25" fillId="0" borderId="9" xfId="3" applyNumberFormat="1" applyFont="1" applyBorder="1" applyAlignment="1">
      <alignment vertical="top"/>
    </xf>
    <xf numFmtId="164" fontId="25" fillId="0" borderId="0" xfId="1" applyFont="1"/>
    <xf numFmtId="9" fontId="25" fillId="0" borderId="0" xfId="2" applyFont="1" applyFill="1"/>
    <xf numFmtId="9" fontId="25" fillId="0" borderId="4" xfId="0" applyNumberFormat="1" applyFont="1" applyBorder="1"/>
    <xf numFmtId="9" fontId="25" fillId="0" borderId="4" xfId="0" applyNumberFormat="1" applyFont="1" applyBorder="1" applyAlignment="1">
      <alignment vertical="top"/>
    </xf>
    <xf numFmtId="43" fontId="28" fillId="0" borderId="0" xfId="3" applyFont="1" applyFill="1" applyAlignment="1">
      <alignment vertical="top"/>
    </xf>
    <xf numFmtId="0" fontId="33" fillId="0" borderId="0" xfId="0" applyFont="1"/>
    <xf numFmtId="166" fontId="15" fillId="0" borderId="0" xfId="3" applyNumberFormat="1" applyFont="1" applyFill="1" applyBorder="1" applyAlignment="1">
      <alignment vertical="top"/>
    </xf>
    <xf numFmtId="166" fontId="15" fillId="0" borderId="0" xfId="3" applyNumberFormat="1" applyFont="1" applyFill="1" applyBorder="1"/>
    <xf numFmtId="164" fontId="22" fillId="0" borderId="0" xfId="1" applyFont="1"/>
    <xf numFmtId="164" fontId="37" fillId="0" borderId="0" xfId="1" applyFont="1"/>
    <xf numFmtId="164" fontId="22" fillId="0" borderId="3" xfId="1" applyFont="1" applyBorder="1" applyAlignment="1">
      <alignment horizontal="centerContinuous"/>
    </xf>
    <xf numFmtId="164" fontId="25" fillId="0" borderId="3" xfId="1" applyFont="1" applyBorder="1" applyAlignment="1">
      <alignment horizontal="centerContinuous"/>
    </xf>
    <xf numFmtId="164" fontId="25" fillId="0" borderId="8" xfId="1" applyFont="1" applyBorder="1" applyAlignment="1">
      <alignment horizontal="centerContinuous"/>
    </xf>
    <xf numFmtId="164" fontId="25" fillId="0" borderId="0" xfId="1" applyFont="1" applyBorder="1"/>
    <xf numFmtId="164" fontId="25" fillId="0" borderId="10" xfId="1" applyFont="1" applyBorder="1"/>
    <xf numFmtId="164" fontId="39" fillId="0" borderId="44" xfId="1" applyFont="1" applyBorder="1"/>
    <xf numFmtId="164" fontId="25" fillId="0" borderId="35" xfId="1" applyFont="1" applyBorder="1"/>
    <xf numFmtId="164" fontId="39" fillId="0" borderId="38" xfId="1" applyFont="1" applyBorder="1"/>
    <xf numFmtId="164" fontId="25" fillId="0" borderId="38" xfId="1" applyFont="1" applyBorder="1"/>
    <xf numFmtId="164" fontId="25" fillId="0" borderId="39" xfId="1" applyFont="1" applyBorder="1"/>
    <xf numFmtId="164" fontId="25" fillId="0" borderId="2" xfId="1" applyFont="1" applyBorder="1"/>
    <xf numFmtId="164" fontId="22" fillId="0" borderId="27" xfId="1" applyFont="1" applyBorder="1"/>
    <xf numFmtId="164" fontId="22" fillId="0" borderId="4" xfId="1" applyFont="1" applyBorder="1"/>
    <xf numFmtId="164" fontId="22" fillId="0" borderId="28" xfId="1" applyFont="1" applyBorder="1"/>
    <xf numFmtId="164" fontId="22" fillId="0" borderId="43" xfId="1" applyFont="1" applyBorder="1"/>
    <xf numFmtId="166" fontId="25" fillId="0" borderId="16" xfId="3" applyNumberFormat="1" applyFont="1" applyFill="1" applyBorder="1"/>
    <xf numFmtId="166" fontId="25" fillId="0" borderId="0" xfId="3" applyNumberFormat="1" applyFont="1" applyFill="1" applyAlignment="1">
      <alignment vertical="top"/>
    </xf>
    <xf numFmtId="166" fontId="25" fillId="0" borderId="16" xfId="3" applyNumberFormat="1" applyFont="1" applyFill="1" applyBorder="1" applyAlignment="1">
      <alignment vertical="top"/>
    </xf>
    <xf numFmtId="166" fontId="22" fillId="0" borderId="0" xfId="3" applyNumberFormat="1" applyFont="1" applyFill="1" applyBorder="1" applyAlignment="1">
      <alignment vertical="top"/>
    </xf>
    <xf numFmtId="0" fontId="10" fillId="0" borderId="0" xfId="0" applyFont="1" applyAlignment="1">
      <alignment horizontal="left" vertical="top" wrapText="1"/>
    </xf>
    <xf numFmtId="164" fontId="23" fillId="0" borderId="0" xfId="1" applyFont="1" applyAlignment="1">
      <alignment vertical="top"/>
    </xf>
    <xf numFmtId="164" fontId="7" fillId="4" borderId="0" xfId="1" applyFont="1" applyFill="1" applyAlignment="1">
      <alignment vertical="top"/>
    </xf>
    <xf numFmtId="164" fontId="8" fillId="0" borderId="2" xfId="1" applyFont="1" applyBorder="1" applyAlignment="1">
      <alignment horizontal="center" vertical="center" wrapText="1"/>
    </xf>
    <xf numFmtId="0" fontId="40" fillId="0" borderId="0" xfId="0" applyFont="1" applyAlignment="1">
      <alignment horizontal="left" vertical="top"/>
    </xf>
    <xf numFmtId="164" fontId="40" fillId="0" borderId="0" xfId="1" applyFont="1" applyFill="1" applyAlignment="1">
      <alignment vertical="top"/>
    </xf>
    <xf numFmtId="166" fontId="41" fillId="0" borderId="0" xfId="3" applyNumberFormat="1" applyFont="1" applyFill="1" applyBorder="1" applyAlignment="1">
      <alignment vertical="top"/>
    </xf>
    <xf numFmtId="166" fontId="41" fillId="0" borderId="0" xfId="3" applyNumberFormat="1" applyFont="1" applyFill="1" applyBorder="1"/>
    <xf numFmtId="0" fontId="42" fillId="0" borderId="0" xfId="0" applyFont="1" applyAlignment="1">
      <alignment horizontal="center"/>
    </xf>
    <xf numFmtId="0" fontId="43" fillId="0" borderId="0" xfId="0" applyFont="1"/>
    <xf numFmtId="10" fontId="43" fillId="0" borderId="0" xfId="0" applyNumberFormat="1" applyFont="1"/>
    <xf numFmtId="0" fontId="17" fillId="0" borderId="0" xfId="0" applyFont="1"/>
    <xf numFmtId="0" fontId="9" fillId="3" borderId="0" xfId="0" applyFont="1" applyFill="1"/>
    <xf numFmtId="0" fontId="44" fillId="0" borderId="0" xfId="0" applyFont="1" applyAlignment="1">
      <alignment vertical="top"/>
    </xf>
    <xf numFmtId="0" fontId="13" fillId="0" borderId="0" xfId="0" applyFont="1" applyAlignment="1">
      <alignment vertical="top"/>
    </xf>
    <xf numFmtId="165" fontId="13" fillId="0" borderId="0" xfId="0" applyNumberFormat="1" applyFont="1"/>
    <xf numFmtId="0" fontId="11" fillId="0" borderId="0" xfId="0" applyFont="1"/>
    <xf numFmtId="10" fontId="45" fillId="0" borderId="0" xfId="1" applyNumberFormat="1" applyFont="1" applyFill="1" applyAlignment="1">
      <alignment vertical="top"/>
    </xf>
    <xf numFmtId="0" fontId="16" fillId="0" borderId="0" xfId="0" applyFont="1"/>
    <xf numFmtId="43" fontId="13" fillId="0" borderId="0" xfId="0" applyNumberFormat="1" applyFont="1"/>
    <xf numFmtId="166" fontId="25" fillId="0" borderId="35" xfId="0" applyNumberFormat="1" applyFont="1" applyBorder="1"/>
    <xf numFmtId="0" fontId="41" fillId="0" borderId="0" xfId="0" applyFont="1" applyAlignment="1">
      <alignment vertical="top"/>
    </xf>
    <xf numFmtId="0" fontId="41" fillId="0" borderId="0" xfId="0" applyFont="1"/>
    <xf numFmtId="0" fontId="22" fillId="0" borderId="35" xfId="0" applyFont="1" applyBorder="1" applyAlignment="1">
      <alignment horizontal="left"/>
    </xf>
    <xf numFmtId="167" fontId="25" fillId="0" borderId="35" xfId="0" applyNumberFormat="1" applyFont="1" applyBorder="1"/>
    <xf numFmtId="0" fontId="25" fillId="0" borderId="44" xfId="0" applyFont="1" applyBorder="1"/>
    <xf numFmtId="9" fontId="25" fillId="0" borderId="36" xfId="0" applyNumberFormat="1" applyFont="1" applyBorder="1" applyAlignment="1">
      <alignment horizontal="left"/>
    </xf>
    <xf numFmtId="0" fontId="25" fillId="0" borderId="36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5" fillId="0" borderId="10" xfId="0" applyFont="1" applyBorder="1" applyAlignment="1">
      <alignment vertical="top"/>
    </xf>
    <xf numFmtId="0" fontId="25" fillId="0" borderId="3" xfId="0" applyFont="1" applyBorder="1" applyAlignment="1">
      <alignment vertical="top"/>
    </xf>
    <xf numFmtId="0" fontId="25" fillId="0" borderId="3" xfId="0" applyFont="1" applyBorder="1"/>
    <xf numFmtId="43" fontId="25" fillId="0" borderId="0" xfId="0" applyNumberFormat="1" applyFont="1" applyAlignment="1">
      <alignment vertical="top"/>
    </xf>
    <xf numFmtId="9" fontId="25" fillId="0" borderId="35" xfId="2" applyFont="1" applyFill="1" applyBorder="1"/>
    <xf numFmtId="9" fontId="25" fillId="0" borderId="0" xfId="2" applyFont="1" applyFill="1" applyAlignment="1">
      <alignment vertical="top"/>
    </xf>
    <xf numFmtId="166" fontId="25" fillId="16" borderId="0" xfId="3" applyNumberFormat="1" applyFont="1" applyFill="1" applyAlignment="1">
      <alignment vertical="top"/>
    </xf>
    <xf numFmtId="0" fontId="22" fillId="5" borderId="15" xfId="0" applyFont="1" applyFill="1" applyBorder="1" applyAlignment="1">
      <alignment vertical="top" wrapText="1"/>
    </xf>
    <xf numFmtId="0" fontId="22" fillId="5" borderId="25" xfId="0" applyFont="1" applyFill="1" applyBorder="1" applyAlignment="1">
      <alignment vertical="top" wrapText="1"/>
    </xf>
    <xf numFmtId="0" fontId="22" fillId="12" borderId="9" xfId="0" applyFont="1" applyFill="1" applyBorder="1" applyAlignment="1">
      <alignment vertical="top"/>
    </xf>
    <xf numFmtId="166" fontId="25" fillId="0" borderId="9" xfId="3" applyNumberFormat="1" applyFont="1" applyFill="1" applyBorder="1"/>
    <xf numFmtId="166" fontId="25" fillId="0" borderId="7" xfId="3" applyNumberFormat="1" applyFont="1" applyFill="1" applyBorder="1"/>
    <xf numFmtId="166" fontId="25" fillId="16" borderId="9" xfId="3" applyNumberFormat="1" applyFont="1" applyFill="1" applyBorder="1"/>
    <xf numFmtId="166" fontId="25" fillId="16" borderId="11" xfId="3" applyNumberFormat="1" applyFont="1" applyFill="1" applyBorder="1"/>
    <xf numFmtId="0" fontId="22" fillId="15" borderId="35" xfId="0" applyFont="1" applyFill="1" applyBorder="1" applyAlignment="1">
      <alignment horizontal="right"/>
    </xf>
    <xf numFmtId="166" fontId="25" fillId="0" borderId="47" xfId="3" applyNumberFormat="1" applyFont="1" applyFill="1" applyBorder="1" applyAlignment="1">
      <alignment vertical="top"/>
    </xf>
    <xf numFmtId="0" fontId="22" fillId="15" borderId="35" xfId="0" applyFont="1" applyFill="1" applyBorder="1"/>
    <xf numFmtId="0" fontId="22" fillId="15" borderId="39" xfId="0" applyFont="1" applyFill="1" applyBorder="1" applyAlignment="1">
      <alignment horizontal="left"/>
    </xf>
    <xf numFmtId="0" fontId="22" fillId="15" borderId="11" xfId="0" applyFont="1" applyFill="1" applyBorder="1" applyAlignment="1">
      <alignment horizontal="left"/>
    </xf>
    <xf numFmtId="0" fontId="22" fillId="15" borderId="35" xfId="0" applyFont="1" applyFill="1" applyBorder="1" applyAlignment="1">
      <alignment horizontal="left"/>
    </xf>
    <xf numFmtId="166" fontId="25" fillId="0" borderId="47" xfId="3" applyNumberFormat="1" applyFont="1" applyFill="1" applyBorder="1"/>
    <xf numFmtId="9" fontId="25" fillId="0" borderId="0" xfId="2" applyFont="1" applyFill="1" applyBorder="1"/>
    <xf numFmtId="0" fontId="22" fillId="15" borderId="36" xfId="0" applyFont="1" applyFill="1" applyBorder="1" applyAlignment="1">
      <alignment horizontal="left"/>
    </xf>
    <xf numFmtId="0" fontId="26" fillId="0" borderId="0" xfId="0" applyFont="1" applyAlignment="1">
      <alignment vertical="top"/>
    </xf>
    <xf numFmtId="0" fontId="26" fillId="0" borderId="0" xfId="0" applyFont="1" applyAlignment="1">
      <alignment wrapText="1"/>
    </xf>
    <xf numFmtId="0" fontId="26" fillId="0" borderId="2" xfId="0" applyFont="1" applyBorder="1" applyAlignment="1">
      <alignment vertical="top"/>
    </xf>
    <xf numFmtId="0" fontId="26" fillId="0" borderId="2" xfId="0" applyFont="1" applyBorder="1" applyAlignment="1">
      <alignment wrapText="1"/>
    </xf>
    <xf numFmtId="0" fontId="25" fillId="0" borderId="2" xfId="0" applyFont="1" applyBorder="1" applyAlignment="1">
      <alignment vertical="top"/>
    </xf>
    <xf numFmtId="166" fontId="25" fillId="0" borderId="11" xfId="3" applyNumberFormat="1" applyFont="1" applyFill="1" applyBorder="1"/>
    <xf numFmtId="166" fontId="25" fillId="0" borderId="2" xfId="3" applyNumberFormat="1" applyFont="1" applyFill="1" applyBorder="1"/>
    <xf numFmtId="166" fontId="25" fillId="0" borderId="2" xfId="3" applyNumberFormat="1" applyFont="1" applyFill="1" applyBorder="1" applyAlignment="1">
      <alignment vertical="top"/>
    </xf>
    <xf numFmtId="9" fontId="22" fillId="0" borderId="0" xfId="0" applyNumberFormat="1" applyFont="1"/>
    <xf numFmtId="0" fontId="26" fillId="0" borderId="0" xfId="0" applyFont="1"/>
    <xf numFmtId="0" fontId="26" fillId="0" borderId="2" xfId="0" applyFont="1" applyBorder="1"/>
    <xf numFmtId="166" fontId="25" fillId="0" borderId="46" xfId="3" applyNumberFormat="1" applyFont="1" applyFill="1" applyBorder="1" applyAlignment="1">
      <alignment vertical="top"/>
    </xf>
    <xf numFmtId="166" fontId="25" fillId="0" borderId="4" xfId="3" applyNumberFormat="1" applyFont="1" applyFill="1" applyBorder="1"/>
    <xf numFmtId="166" fontId="25" fillId="0" borderId="22" xfId="3" applyNumberFormat="1" applyFont="1" applyFill="1" applyBorder="1" applyAlignment="1">
      <alignment vertical="top"/>
    </xf>
    <xf numFmtId="166" fontId="25" fillId="0" borderId="32" xfId="3" applyNumberFormat="1" applyFont="1" applyFill="1" applyBorder="1" applyAlignment="1">
      <alignment vertical="top"/>
    </xf>
    <xf numFmtId="0" fontId="25" fillId="15" borderId="0" xfId="0" applyFont="1" applyFill="1"/>
    <xf numFmtId="0" fontId="22" fillId="15" borderId="10" xfId="0" applyFont="1" applyFill="1" applyBorder="1" applyAlignment="1">
      <alignment vertical="top" wrapText="1"/>
    </xf>
    <xf numFmtId="0" fontId="22" fillId="15" borderId="10" xfId="0" applyFont="1" applyFill="1" applyBorder="1" applyAlignment="1">
      <alignment vertical="top"/>
    </xf>
    <xf numFmtId="166" fontId="25" fillId="15" borderId="10" xfId="3" applyNumberFormat="1" applyFont="1" applyFill="1" applyBorder="1" applyAlignment="1">
      <alignment vertical="top"/>
    </xf>
    <xf numFmtId="166" fontId="25" fillId="15" borderId="12" xfId="3" applyNumberFormat="1" applyFont="1" applyFill="1" applyBorder="1" applyAlignment="1">
      <alignment vertical="top"/>
    </xf>
    <xf numFmtId="166" fontId="25" fillId="15" borderId="8" xfId="3" applyNumberFormat="1" applyFont="1" applyFill="1" applyBorder="1" applyAlignment="1">
      <alignment vertical="top"/>
    </xf>
    <xf numFmtId="166" fontId="25" fillId="15" borderId="0" xfId="3" applyNumberFormat="1" applyFont="1" applyFill="1" applyBorder="1"/>
    <xf numFmtId="166" fontId="22" fillId="15" borderId="0" xfId="3" applyNumberFormat="1" applyFont="1" applyFill="1"/>
    <xf numFmtId="166" fontId="25" fillId="15" borderId="15" xfId="3" applyNumberFormat="1" applyFont="1" applyFill="1" applyBorder="1" applyAlignment="1">
      <alignment vertical="top"/>
    </xf>
    <xf numFmtId="166" fontId="25" fillId="15" borderId="19" xfId="3" applyNumberFormat="1" applyFont="1" applyFill="1" applyBorder="1" applyAlignment="1">
      <alignment vertical="top"/>
    </xf>
    <xf numFmtId="166" fontId="25" fillId="15" borderId="22" xfId="3" applyNumberFormat="1" applyFont="1" applyFill="1" applyBorder="1" applyAlignment="1">
      <alignment vertical="top"/>
    </xf>
    <xf numFmtId="166" fontId="25" fillId="15" borderId="0" xfId="3" applyNumberFormat="1" applyFont="1" applyFill="1"/>
    <xf numFmtId="166" fontId="25" fillId="15" borderId="0" xfId="3" applyNumberFormat="1" applyFont="1" applyFill="1" applyAlignment="1">
      <alignment vertical="top"/>
    </xf>
    <xf numFmtId="166" fontId="25" fillId="15" borderId="3" xfId="3" applyNumberFormat="1" applyFont="1" applyFill="1" applyBorder="1"/>
    <xf numFmtId="166" fontId="25" fillId="15" borderId="2" xfId="3" applyNumberFormat="1" applyFont="1" applyFill="1" applyBorder="1"/>
    <xf numFmtId="166" fontId="22" fillId="15" borderId="4" xfId="3" applyNumberFormat="1" applyFont="1" applyFill="1" applyBorder="1"/>
    <xf numFmtId="166" fontId="25" fillId="15" borderId="0" xfId="0" applyNumberFormat="1" applyFont="1" applyFill="1"/>
    <xf numFmtId="166" fontId="25" fillId="15" borderId="0" xfId="0" applyNumberFormat="1" applyFont="1" applyFill="1" applyAlignment="1">
      <alignment vertical="top"/>
    </xf>
    <xf numFmtId="165" fontId="25" fillId="15" borderId="0" xfId="1" applyNumberFormat="1" applyFont="1" applyFill="1" applyAlignment="1">
      <alignment vertical="top"/>
    </xf>
    <xf numFmtId="9" fontId="25" fillId="15" borderId="0" xfId="2" applyFont="1" applyFill="1"/>
    <xf numFmtId="9" fontId="25" fillId="15" borderId="4" xfId="0" applyNumberFormat="1" applyFont="1" applyFill="1" applyBorder="1"/>
    <xf numFmtId="9" fontId="25" fillId="15" borderId="4" xfId="0" applyNumberFormat="1" applyFont="1" applyFill="1" applyBorder="1" applyAlignment="1">
      <alignment vertical="top"/>
    </xf>
    <xf numFmtId="166" fontId="25" fillId="15" borderId="28" xfId="3" applyNumberFormat="1" applyFont="1" applyFill="1" applyBorder="1" applyAlignment="1">
      <alignment vertical="top"/>
    </xf>
    <xf numFmtId="0" fontId="7" fillId="15" borderId="0" xfId="0" applyFont="1" applyFill="1" applyAlignment="1">
      <alignment horizontal="center"/>
    </xf>
    <xf numFmtId="0" fontId="22" fillId="15" borderId="0" xfId="0" applyFont="1" applyFill="1"/>
    <xf numFmtId="0" fontId="25" fillId="15" borderId="15" xfId="0" applyFont="1" applyFill="1" applyBorder="1" applyAlignment="1">
      <alignment vertical="top"/>
    </xf>
    <xf numFmtId="0" fontId="25" fillId="15" borderId="19" xfId="0" applyFont="1" applyFill="1" applyBorder="1" applyAlignment="1">
      <alignment vertical="top"/>
    </xf>
    <xf numFmtId="0" fontId="25" fillId="15" borderId="22" xfId="0" applyFont="1" applyFill="1" applyBorder="1" applyAlignment="1">
      <alignment vertical="top"/>
    </xf>
    <xf numFmtId="0" fontId="25" fillId="15" borderId="0" xfId="0" applyFont="1" applyFill="1" applyAlignment="1">
      <alignment vertical="top"/>
    </xf>
    <xf numFmtId="0" fontId="25" fillId="15" borderId="15" xfId="0" applyFont="1" applyFill="1" applyBorder="1"/>
    <xf numFmtId="0" fontId="22" fillId="15" borderId="15" xfId="0" applyFont="1" applyFill="1" applyBorder="1"/>
    <xf numFmtId="166" fontId="25" fillId="15" borderId="8" xfId="3" applyNumberFormat="1" applyFont="1" applyFill="1" applyBorder="1"/>
    <xf numFmtId="166" fontId="25" fillId="15" borderId="10" xfId="3" applyNumberFormat="1" applyFont="1" applyFill="1" applyBorder="1"/>
    <xf numFmtId="166" fontId="25" fillId="15" borderId="12" xfId="3" applyNumberFormat="1" applyFont="1" applyFill="1" applyBorder="1"/>
    <xf numFmtId="166" fontId="22" fillId="15" borderId="28" xfId="3" applyNumberFormat="1" applyFont="1" applyFill="1" applyBorder="1"/>
    <xf numFmtId="166" fontId="25" fillId="15" borderId="8" xfId="0" applyNumberFormat="1" applyFont="1" applyFill="1" applyBorder="1" applyAlignment="1">
      <alignment vertical="top"/>
    </xf>
    <xf numFmtId="166" fontId="25" fillId="15" borderId="10" xfId="0" applyNumberFormat="1" applyFont="1" applyFill="1" applyBorder="1" applyAlignment="1">
      <alignment vertical="top"/>
    </xf>
    <xf numFmtId="165" fontId="25" fillId="15" borderId="8" xfId="1" applyNumberFormat="1" applyFont="1" applyFill="1" applyBorder="1" applyAlignment="1">
      <alignment vertical="top"/>
    </xf>
    <xf numFmtId="165" fontId="25" fillId="15" borderId="10" xfId="1" applyNumberFormat="1" applyFont="1" applyFill="1" applyBorder="1" applyAlignment="1">
      <alignment vertical="top"/>
    </xf>
    <xf numFmtId="9" fontId="25" fillId="15" borderId="10" xfId="2" applyFont="1" applyFill="1" applyBorder="1"/>
    <xf numFmtId="9" fontId="25" fillId="15" borderId="12" xfId="2" applyFont="1" applyFill="1" applyBorder="1"/>
    <xf numFmtId="9" fontId="25" fillId="15" borderId="45" xfId="0" applyNumberFormat="1" applyFont="1" applyFill="1" applyBorder="1"/>
    <xf numFmtId="164" fontId="25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0" fontId="25" fillId="0" borderId="2" xfId="0" applyFont="1" applyBorder="1"/>
    <xf numFmtId="0" fontId="33" fillId="0" borderId="0" xfId="0" applyFont="1" applyAlignment="1">
      <alignment vertical="top"/>
    </xf>
    <xf numFmtId="0" fontId="22" fillId="0" borderId="2" xfId="0" applyFont="1" applyBorder="1" applyAlignment="1">
      <alignment vertical="top"/>
    </xf>
    <xf numFmtId="166" fontId="33" fillId="0" borderId="0" xfId="0" applyNumberFormat="1" applyFont="1"/>
    <xf numFmtId="0" fontId="25" fillId="0" borderId="16" xfId="0" applyFont="1" applyBorder="1"/>
    <xf numFmtId="0" fontId="25" fillId="0" borderId="15" xfId="0" applyFont="1" applyBorder="1"/>
    <xf numFmtId="0" fontId="27" fillId="0" borderId="0" xfId="0" applyFont="1" applyAlignment="1">
      <alignment vertical="top"/>
    </xf>
    <xf numFmtId="0" fontId="25" fillId="0" borderId="15" xfId="0" applyFont="1" applyBorder="1" applyAlignment="1">
      <alignment vertical="top"/>
    </xf>
    <xf numFmtId="43" fontId="25" fillId="0" borderId="47" xfId="0" applyNumberFormat="1" applyFont="1" applyBorder="1" applyAlignment="1">
      <alignment vertical="top"/>
    </xf>
    <xf numFmtId="0" fontId="25" fillId="0" borderId="47" xfId="0" applyFont="1" applyBorder="1" applyAlignment="1">
      <alignment vertical="top"/>
    </xf>
    <xf numFmtId="0" fontId="41" fillId="0" borderId="15" xfId="0" applyFont="1" applyBorder="1" applyAlignment="1">
      <alignment vertical="top"/>
    </xf>
    <xf numFmtId="166" fontId="41" fillId="0" borderId="0" xfId="3" applyNumberFormat="1" applyFont="1" applyFill="1" applyAlignment="1">
      <alignment vertical="top"/>
    </xf>
    <xf numFmtId="43" fontId="41" fillId="0" borderId="0" xfId="0" applyNumberFormat="1" applyFont="1" applyAlignment="1">
      <alignment vertical="top"/>
    </xf>
    <xf numFmtId="166" fontId="41" fillId="0" borderId="0" xfId="0" applyNumberFormat="1" applyFont="1" applyAlignment="1">
      <alignment vertical="top"/>
    </xf>
    <xf numFmtId="166" fontId="25" fillId="0" borderId="0" xfId="0" applyNumberFormat="1" applyFont="1"/>
    <xf numFmtId="0" fontId="25" fillId="0" borderId="14" xfId="0" applyFont="1" applyBorder="1"/>
    <xf numFmtId="0" fontId="22" fillId="17" borderId="4" xfId="0" applyFont="1" applyFill="1" applyBorder="1"/>
    <xf numFmtId="0" fontId="22" fillId="19" borderId="35" xfId="0" applyFont="1" applyFill="1" applyBorder="1"/>
    <xf numFmtId="0" fontId="22" fillId="17" borderId="35" xfId="0" applyFont="1" applyFill="1" applyBorder="1"/>
    <xf numFmtId="165" fontId="22" fillId="17" borderId="35" xfId="0" applyNumberFormat="1" applyFont="1" applyFill="1" applyBorder="1"/>
    <xf numFmtId="164" fontId="22" fillId="0" borderId="13" xfId="1" applyFont="1" applyBorder="1" applyAlignment="1">
      <alignment horizontal="left" vertical="top" wrapText="1"/>
    </xf>
    <xf numFmtId="164" fontId="22" fillId="0" borderId="33" xfId="1" applyFont="1" applyBorder="1" applyAlignment="1">
      <alignment horizontal="left" vertical="top" wrapText="1"/>
    </xf>
    <xf numFmtId="0" fontId="46" fillId="0" borderId="35" xfId="5" applyBorder="1"/>
    <xf numFmtId="0" fontId="7" fillId="20" borderId="35" xfId="5" applyFont="1" applyFill="1" applyBorder="1"/>
    <xf numFmtId="0" fontId="46" fillId="19" borderId="35" xfId="5" applyFill="1" applyBorder="1" applyAlignment="1">
      <alignment horizontal="center" vertical="top" wrapText="1"/>
    </xf>
    <xf numFmtId="0" fontId="46" fillId="19" borderId="35" xfId="5" quotePrefix="1" applyFill="1" applyBorder="1" applyAlignment="1">
      <alignment horizontal="center" vertical="top" wrapText="1"/>
    </xf>
    <xf numFmtId="0" fontId="46" fillId="19" borderId="35" xfId="5" applyFill="1" applyBorder="1" applyAlignment="1">
      <alignment vertical="top" wrapText="1"/>
    </xf>
    <xf numFmtId="0" fontId="47" fillId="0" borderId="38" xfId="5" applyFont="1" applyBorder="1"/>
    <xf numFmtId="0" fontId="47" fillId="0" borderId="10" xfId="5" applyFont="1" applyBorder="1"/>
    <xf numFmtId="168" fontId="46" fillId="0" borderId="44" xfId="5" quotePrefix="1" applyNumberFormat="1" applyBorder="1" applyAlignment="1">
      <alignment horizontal="center"/>
    </xf>
    <xf numFmtId="0" fontId="46" fillId="0" borderId="8" xfId="5" applyBorder="1" applyAlignment="1">
      <alignment horizontal="center"/>
    </xf>
    <xf numFmtId="168" fontId="47" fillId="0" borderId="8" xfId="5" applyNumberFormat="1" applyFont="1" applyBorder="1" applyAlignment="1">
      <alignment horizontal="center"/>
    </xf>
    <xf numFmtId="0" fontId="46" fillId="0" borderId="38" xfId="5" applyBorder="1" applyAlignment="1">
      <alignment horizontal="center"/>
    </xf>
    <xf numFmtId="0" fontId="46" fillId="0" borderId="10" xfId="5" applyBorder="1"/>
    <xf numFmtId="169" fontId="46" fillId="0" borderId="38" xfId="5" applyNumberFormat="1" applyBorder="1"/>
    <xf numFmtId="166" fontId="46" fillId="0" borderId="10" xfId="3" applyNumberFormat="1" applyFont="1" applyBorder="1"/>
    <xf numFmtId="169" fontId="46" fillId="0" borderId="10" xfId="5" applyNumberFormat="1" applyBorder="1"/>
    <xf numFmtId="165" fontId="47" fillId="0" borderId="48" xfId="7" applyNumberFormat="1" applyFont="1" applyFill="1" applyBorder="1"/>
    <xf numFmtId="0" fontId="46" fillId="0" borderId="0" xfId="5"/>
    <xf numFmtId="166" fontId="46" fillId="0" borderId="10" xfId="3" applyNumberFormat="1" applyFont="1" applyFill="1" applyBorder="1"/>
    <xf numFmtId="170" fontId="46" fillId="0" borderId="38" xfId="5" applyNumberFormat="1" applyBorder="1"/>
    <xf numFmtId="170" fontId="46" fillId="0" borderId="48" xfId="5" applyNumberFormat="1" applyBorder="1"/>
    <xf numFmtId="0" fontId="46" fillId="0" borderId="39" xfId="5" applyBorder="1" applyAlignment="1">
      <alignment horizontal="center"/>
    </xf>
    <xf numFmtId="0" fontId="46" fillId="21" borderId="0" xfId="5" applyFill="1"/>
    <xf numFmtId="0" fontId="47" fillId="21" borderId="0" xfId="5" applyFont="1" applyFill="1"/>
    <xf numFmtId="43" fontId="12" fillId="0" borderId="3" xfId="0" applyNumberFormat="1" applyFont="1" applyBorder="1"/>
    <xf numFmtId="9" fontId="33" fillId="0" borderId="0" xfId="0" applyNumberFormat="1" applyFont="1"/>
    <xf numFmtId="0" fontId="46" fillId="19" borderId="35" xfId="5" applyFill="1" applyBorder="1"/>
    <xf numFmtId="10" fontId="46" fillId="0" borderId="35" xfId="2" applyNumberFormat="1" applyFont="1" applyBorder="1"/>
    <xf numFmtId="0" fontId="46" fillId="0" borderId="0" xfId="5" applyAlignment="1">
      <alignment wrapText="1"/>
    </xf>
    <xf numFmtId="9" fontId="46" fillId="0" borderId="0" xfId="5" applyNumberFormat="1"/>
    <xf numFmtId="0" fontId="47" fillId="0" borderId="0" xfId="5" applyFont="1"/>
    <xf numFmtId="9" fontId="25" fillId="22" borderId="35" xfId="0" applyNumberFormat="1" applyFont="1" applyFill="1" applyBorder="1"/>
    <xf numFmtId="0" fontId="25" fillId="22" borderId="38" xfId="0" applyFont="1" applyFill="1" applyBorder="1"/>
    <xf numFmtId="43" fontId="46" fillId="0" borderId="10" xfId="5" applyNumberFormat="1" applyBorder="1"/>
    <xf numFmtId="43" fontId="46" fillId="0" borderId="10" xfId="3" applyFont="1" applyBorder="1"/>
    <xf numFmtId="166" fontId="46" fillId="0" borderId="39" xfId="3" applyNumberFormat="1" applyFont="1" applyBorder="1"/>
    <xf numFmtId="43" fontId="46" fillId="0" borderId="38" xfId="3" applyFont="1" applyBorder="1"/>
    <xf numFmtId="0" fontId="46" fillId="0" borderId="44" xfId="5" applyBorder="1" applyAlignment="1">
      <alignment horizontal="center"/>
    </xf>
    <xf numFmtId="169" fontId="46" fillId="0" borderId="49" xfId="5" applyNumberFormat="1" applyBorder="1"/>
    <xf numFmtId="166" fontId="46" fillId="0" borderId="38" xfId="3" applyNumberFormat="1" applyFont="1" applyBorder="1"/>
    <xf numFmtId="170" fontId="46" fillId="0" borderId="10" xfId="5" applyNumberFormat="1" applyBorder="1"/>
    <xf numFmtId="164" fontId="25" fillId="0" borderId="12" xfId="1" applyFont="1" applyBorder="1"/>
    <xf numFmtId="164" fontId="25" fillId="0" borderId="33" xfId="1" applyFont="1" applyBorder="1" applyAlignment="1">
      <alignment horizontal="centerContinuous"/>
    </xf>
    <xf numFmtId="164" fontId="22" fillId="0" borderId="33" xfId="1" applyFont="1" applyBorder="1" applyAlignment="1">
      <alignment horizontal="centerContinuous"/>
    </xf>
    <xf numFmtId="10" fontId="46" fillId="0" borderId="35" xfId="5" applyNumberFormat="1" applyBorder="1"/>
    <xf numFmtId="9" fontId="29" fillId="0" borderId="25" xfId="3" applyNumberFormat="1" applyFont="1" applyBorder="1"/>
    <xf numFmtId="166" fontId="29" fillId="0" borderId="15" xfId="3" applyNumberFormat="1" applyFont="1" applyBorder="1"/>
    <xf numFmtId="166" fontId="29" fillId="0" borderId="16" xfId="3" applyNumberFormat="1" applyFont="1" applyBorder="1"/>
    <xf numFmtId="0" fontId="29" fillId="21" borderId="14" xfId="0" applyFont="1" applyFill="1" applyBorder="1"/>
    <xf numFmtId="165" fontId="25" fillId="14" borderId="38" xfId="1" applyNumberFormat="1" applyFont="1" applyFill="1" applyBorder="1"/>
    <xf numFmtId="165" fontId="25" fillId="14" borderId="0" xfId="1" applyNumberFormat="1" applyFont="1" applyFill="1"/>
    <xf numFmtId="165" fontId="25" fillId="0" borderId="40" xfId="1" applyNumberFormat="1" applyFont="1" applyBorder="1"/>
    <xf numFmtId="165" fontId="25" fillId="0" borderId="4" xfId="1" applyNumberFormat="1" applyFont="1" applyBorder="1"/>
    <xf numFmtId="166" fontId="25" fillId="16" borderId="3" xfId="3" applyNumberFormat="1" applyFont="1" applyFill="1" applyBorder="1" applyAlignment="1">
      <alignment vertical="top"/>
    </xf>
    <xf numFmtId="9" fontId="13" fillId="0" borderId="0" xfId="2" applyFont="1"/>
    <xf numFmtId="165" fontId="29" fillId="0" borderId="28" xfId="1" applyNumberFormat="1" applyFont="1" applyBorder="1"/>
    <xf numFmtId="0" fontId="29" fillId="0" borderId="3" xfId="0" applyFont="1" applyBorder="1"/>
    <xf numFmtId="0" fontId="29" fillId="0" borderId="50" xfId="0" applyFont="1" applyBorder="1"/>
    <xf numFmtId="0" fontId="29" fillId="0" borderId="51" xfId="0" applyFont="1" applyBorder="1"/>
    <xf numFmtId="166" fontId="29" fillId="0" borderId="38" xfId="3" applyNumberFormat="1" applyFont="1" applyBorder="1"/>
    <xf numFmtId="166" fontId="29" fillId="0" borderId="28" xfId="3" applyNumberFormat="1" applyFont="1" applyBorder="1"/>
    <xf numFmtId="165" fontId="22" fillId="23" borderId="40" xfId="1" applyNumberFormat="1" applyFont="1" applyFill="1" applyBorder="1"/>
    <xf numFmtId="164" fontId="40" fillId="0" borderId="0" xfId="0" applyNumberFormat="1" applyFont="1"/>
    <xf numFmtId="10" fontId="8" fillId="0" borderId="13" xfId="1" applyNumberFormat="1" applyFont="1" applyFill="1" applyBorder="1" applyAlignment="1">
      <alignment vertical="top"/>
    </xf>
    <xf numFmtId="9" fontId="13" fillId="0" borderId="2" xfId="2" applyFont="1" applyBorder="1"/>
    <xf numFmtId="9" fontId="13" fillId="0" borderId="0" xfId="2" applyFont="1" applyBorder="1"/>
    <xf numFmtId="0" fontId="49" fillId="0" borderId="0" xfId="0" applyFont="1" applyAlignment="1">
      <alignment vertical="top"/>
    </xf>
    <xf numFmtId="164" fontId="49" fillId="0" borderId="0" xfId="1" applyFont="1" applyFill="1" applyAlignment="1">
      <alignment vertical="top"/>
    </xf>
    <xf numFmtId="10" fontId="8" fillId="15" borderId="13" xfId="1" applyNumberFormat="1" applyFont="1" applyFill="1" applyBorder="1" applyAlignment="1">
      <alignment vertical="top"/>
    </xf>
    <xf numFmtId="10" fontId="43" fillId="15" borderId="0" xfId="0" applyNumberFormat="1" applyFont="1" applyFill="1"/>
    <xf numFmtId="9" fontId="13" fillId="15" borderId="0" xfId="2" applyFont="1" applyFill="1"/>
    <xf numFmtId="9" fontId="13" fillId="15" borderId="2" xfId="2" applyFont="1" applyFill="1" applyBorder="1"/>
    <xf numFmtId="164" fontId="8" fillId="15" borderId="0" xfId="1" applyFont="1" applyFill="1" applyAlignment="1">
      <alignment vertical="top"/>
    </xf>
    <xf numFmtId="164" fontId="8" fillId="15" borderId="0" xfId="0" applyNumberFormat="1" applyFont="1" applyFill="1" applyAlignment="1">
      <alignment vertical="top"/>
    </xf>
    <xf numFmtId="9" fontId="13" fillId="15" borderId="0" xfId="2" applyFont="1" applyFill="1" applyBorder="1"/>
    <xf numFmtId="164" fontId="49" fillId="15" borderId="0" xfId="1" applyFont="1" applyFill="1" applyAlignment="1">
      <alignment vertical="top"/>
    </xf>
    <xf numFmtId="0" fontId="8" fillId="15" borderId="2" xfId="0" applyFont="1" applyFill="1" applyBorder="1" applyAlignment="1">
      <alignment horizontal="center" wrapText="1"/>
    </xf>
    <xf numFmtId="164" fontId="10" fillId="15" borderId="0" xfId="1" applyFont="1" applyFill="1" applyAlignment="1">
      <alignment vertical="top"/>
    </xf>
    <xf numFmtId="164" fontId="8" fillId="15" borderId="3" xfId="0" applyNumberFormat="1" applyFont="1" applyFill="1" applyBorder="1" applyAlignment="1">
      <alignment vertical="top"/>
    </xf>
    <xf numFmtId="164" fontId="40" fillId="15" borderId="0" xfId="1" applyFont="1" applyFill="1" applyAlignment="1">
      <alignment vertical="top"/>
    </xf>
    <xf numFmtId="10" fontId="35" fillId="15" borderId="0" xfId="1" applyNumberFormat="1" applyFont="1" applyFill="1" applyAlignment="1">
      <alignment vertical="top"/>
    </xf>
    <xf numFmtId="164" fontId="8" fillId="15" borderId="4" xfId="0" applyNumberFormat="1" applyFont="1" applyFill="1" applyBorder="1" applyAlignment="1">
      <alignment vertical="top"/>
    </xf>
    <xf numFmtId="0" fontId="9" fillId="24" borderId="0" xfId="0" applyFont="1" applyFill="1" applyAlignment="1">
      <alignment vertical="top"/>
    </xf>
    <xf numFmtId="0" fontId="7" fillId="24" borderId="0" xfId="0" applyFont="1" applyFill="1" applyAlignment="1">
      <alignment vertical="top"/>
    </xf>
    <xf numFmtId="0" fontId="15" fillId="0" borderId="0" xfId="0" applyFont="1"/>
    <xf numFmtId="0" fontId="51" fillId="0" borderId="9" xfId="0" applyFont="1" applyBorder="1"/>
    <xf numFmtId="0" fontId="51" fillId="0" borderId="0" xfId="0" applyFont="1"/>
    <xf numFmtId="165" fontId="51" fillId="0" borderId="0" xfId="1" applyNumberFormat="1" applyFont="1"/>
    <xf numFmtId="165" fontId="51" fillId="15" borderId="0" xfId="1" applyNumberFormat="1" applyFont="1" applyFill="1"/>
    <xf numFmtId="165" fontId="51" fillId="0" borderId="0" xfId="1" applyNumberFormat="1" applyFont="1" applyFill="1"/>
    <xf numFmtId="165" fontId="51" fillId="0" borderId="10" xfId="1" applyNumberFormat="1" applyFont="1" applyFill="1" applyBorder="1"/>
    <xf numFmtId="0" fontId="51" fillId="0" borderId="9" xfId="0" applyFont="1" applyBorder="1" applyAlignment="1">
      <alignment wrapText="1"/>
    </xf>
    <xf numFmtId="9" fontId="51" fillId="0" borderId="0" xfId="0" applyNumberFormat="1" applyFont="1"/>
    <xf numFmtId="165" fontId="47" fillId="0" borderId="0" xfId="1" applyNumberFormat="1" applyFont="1" applyFill="1"/>
    <xf numFmtId="0" fontId="39" fillId="0" borderId="0" xfId="0" applyFont="1"/>
    <xf numFmtId="0" fontId="37" fillId="0" borderId="0" xfId="0" applyFont="1"/>
    <xf numFmtId="0" fontId="52" fillId="0" borderId="0" xfId="0" applyFont="1"/>
    <xf numFmtId="0" fontId="22" fillId="0" borderId="36" xfId="0" applyFont="1" applyBorder="1"/>
    <xf numFmtId="0" fontId="25" fillId="0" borderId="13" xfId="0" applyFont="1" applyBorder="1"/>
    <xf numFmtId="0" fontId="22" fillId="0" borderId="3" xfId="0" applyFont="1" applyBorder="1"/>
    <xf numFmtId="0" fontId="7" fillId="24" borderId="7" xfId="0" applyFont="1" applyFill="1" applyBorder="1" applyAlignment="1">
      <alignment horizontal="right"/>
    </xf>
    <xf numFmtId="49" fontId="7" fillId="24" borderId="3" xfId="4" applyNumberFormat="1" applyFont="1" applyFill="1" applyBorder="1" applyAlignment="1">
      <alignment horizontal="right"/>
    </xf>
    <xf numFmtId="49" fontId="7" fillId="24" borderId="8" xfId="4" applyNumberFormat="1" applyFont="1" applyFill="1" applyBorder="1" applyAlignment="1">
      <alignment horizontal="right"/>
    </xf>
    <xf numFmtId="0" fontId="25" fillId="0" borderId="9" xfId="0" applyFont="1" applyBorder="1"/>
    <xf numFmtId="165" fontId="25" fillId="0" borderId="7" xfId="1" applyNumberFormat="1" applyFont="1" applyBorder="1"/>
    <xf numFmtId="165" fontId="25" fillId="0" borderId="3" xfId="1" applyNumberFormat="1" applyFont="1" applyBorder="1"/>
    <xf numFmtId="165" fontId="25" fillId="15" borderId="3" xfId="1" applyNumberFormat="1" applyFont="1" applyFill="1" applyBorder="1"/>
    <xf numFmtId="165" fontId="25" fillId="0" borderId="8" xfId="1" applyNumberFormat="1" applyFont="1" applyBorder="1"/>
    <xf numFmtId="165" fontId="25" fillId="0" borderId="9" xfId="1" applyNumberFormat="1" applyFont="1" applyBorder="1"/>
    <xf numFmtId="165" fontId="25" fillId="0" borderId="0" xfId="1" applyNumberFormat="1" applyFont="1" applyBorder="1"/>
    <xf numFmtId="165" fontId="25" fillId="15" borderId="0" xfId="1" applyNumberFormat="1" applyFont="1" applyFill="1" applyBorder="1"/>
    <xf numFmtId="165" fontId="25" fillId="0" borderId="10" xfId="1" applyNumberFormat="1" applyFont="1" applyBorder="1"/>
    <xf numFmtId="0" fontId="25" fillId="0" borderId="11" xfId="0" applyFont="1" applyBorder="1"/>
    <xf numFmtId="165" fontId="25" fillId="0" borderId="11" xfId="1" applyNumberFormat="1" applyFont="1" applyBorder="1"/>
    <xf numFmtId="165" fontId="25" fillId="0" borderId="2" xfId="1" applyNumberFormat="1" applyFont="1" applyBorder="1"/>
    <xf numFmtId="165" fontId="25" fillId="15" borderId="2" xfId="1" applyNumberFormat="1" applyFont="1" applyFill="1" applyBorder="1"/>
    <xf numFmtId="0" fontId="7" fillId="0" borderId="0" xfId="0" applyFont="1" applyAlignment="1">
      <alignment horizontal="right"/>
    </xf>
    <xf numFmtId="49" fontId="7" fillId="0" borderId="0" xfId="4" applyNumberFormat="1" applyFont="1" applyFill="1" applyBorder="1" applyAlignment="1">
      <alignment horizontal="right"/>
    </xf>
    <xf numFmtId="0" fontId="52" fillId="15" borderId="2" xfId="0" applyFont="1" applyFill="1" applyBorder="1"/>
    <xf numFmtId="0" fontId="22" fillId="0" borderId="9" xfId="0" applyFont="1" applyBorder="1"/>
    <xf numFmtId="0" fontId="7" fillId="24" borderId="36" xfId="0" applyFont="1" applyFill="1" applyBorder="1" applyAlignment="1">
      <alignment horizontal="right"/>
    </xf>
    <xf numFmtId="49" fontId="7" fillId="24" borderId="13" xfId="4" applyNumberFormat="1" applyFont="1" applyFill="1" applyBorder="1" applyAlignment="1">
      <alignment horizontal="right"/>
    </xf>
    <xf numFmtId="49" fontId="7" fillId="24" borderId="33" xfId="4" applyNumberFormat="1" applyFont="1" applyFill="1" applyBorder="1" applyAlignment="1">
      <alignment horizontal="right"/>
    </xf>
    <xf numFmtId="0" fontId="7" fillId="15" borderId="0" xfId="0" applyFont="1" applyFill="1" applyAlignment="1">
      <alignment horizontal="right"/>
    </xf>
    <xf numFmtId="49" fontId="7" fillId="0" borderId="10" xfId="4" applyNumberFormat="1" applyFont="1" applyFill="1" applyBorder="1" applyAlignment="1">
      <alignment horizontal="right"/>
    </xf>
    <xf numFmtId="165" fontId="25" fillId="15" borderId="0" xfId="1" applyNumberFormat="1" applyFont="1" applyFill="1"/>
    <xf numFmtId="165" fontId="25" fillId="0" borderId="10" xfId="1" applyNumberFormat="1" applyFont="1" applyFill="1" applyBorder="1"/>
    <xf numFmtId="0" fontId="47" fillId="0" borderId="0" xfId="0" applyFont="1"/>
    <xf numFmtId="165" fontId="47" fillId="0" borderId="11" xfId="1" applyNumberFormat="1" applyFont="1" applyFill="1" applyBorder="1" applyAlignment="1">
      <alignment horizontal="left" indent="13"/>
    </xf>
    <xf numFmtId="165" fontId="47" fillId="0" borderId="2" xfId="1" applyNumberFormat="1" applyFont="1" applyFill="1" applyBorder="1"/>
    <xf numFmtId="165" fontId="47" fillId="0" borderId="2" xfId="1" applyNumberFormat="1" applyFont="1" applyBorder="1"/>
    <xf numFmtId="165" fontId="47" fillId="15" borderId="2" xfId="1" applyNumberFormat="1" applyFont="1" applyFill="1" applyBorder="1"/>
    <xf numFmtId="165" fontId="47" fillId="0" borderId="12" xfId="1" applyNumberFormat="1" applyFont="1" applyFill="1" applyBorder="1"/>
    <xf numFmtId="0" fontId="52" fillId="15" borderId="0" xfId="0" applyFont="1" applyFill="1"/>
    <xf numFmtId="0" fontId="37" fillId="0" borderId="0" xfId="0" applyFont="1" applyAlignment="1">
      <alignment horizontal="right"/>
    </xf>
    <xf numFmtId="0" fontId="22" fillId="0" borderId="7" xfId="0" applyFont="1" applyBorder="1"/>
    <xf numFmtId="1" fontId="22" fillId="0" borderId="3" xfId="0" applyNumberFormat="1" applyFont="1" applyBorder="1"/>
    <xf numFmtId="165" fontId="25" fillId="0" borderId="0" xfId="0" applyNumberFormat="1" applyFont="1"/>
    <xf numFmtId="165" fontId="25" fillId="15" borderId="0" xfId="0" applyNumberFormat="1" applyFont="1" applyFill="1"/>
    <xf numFmtId="0" fontId="22" fillId="0" borderId="9" xfId="0" quotePrefix="1" applyFont="1" applyBorder="1"/>
    <xf numFmtId="164" fontId="25" fillId="0" borderId="0" xfId="0" applyNumberFormat="1" applyFont="1"/>
    <xf numFmtId="164" fontId="25" fillId="15" borderId="0" xfId="0" applyNumberFormat="1" applyFont="1" applyFill="1"/>
    <xf numFmtId="0" fontId="22" fillId="0" borderId="11" xfId="0" applyFont="1" applyBorder="1"/>
    <xf numFmtId="165" fontId="25" fillId="0" borderId="2" xfId="0" applyNumberFormat="1" applyFont="1" applyBorder="1"/>
    <xf numFmtId="165" fontId="25" fillId="15" borderId="2" xfId="0" applyNumberFormat="1" applyFont="1" applyFill="1" applyBorder="1"/>
    <xf numFmtId="0" fontId="7" fillId="2" borderId="1" xfId="0" applyFont="1" applyFill="1" applyBorder="1"/>
    <xf numFmtId="0" fontId="7" fillId="3" borderId="0" xfId="0" applyFont="1" applyFill="1"/>
    <xf numFmtId="0" fontId="52" fillId="0" borderId="0" xfId="0" applyFont="1" applyAlignment="1">
      <alignment vertical="top"/>
    </xf>
    <xf numFmtId="0" fontId="47" fillId="0" borderId="2" xfId="0" applyFont="1" applyBorder="1" applyAlignment="1">
      <alignment horizontal="left"/>
    </xf>
    <xf numFmtId="0" fontId="47" fillId="0" borderId="2" xfId="0" applyFont="1" applyBorder="1" applyAlignment="1">
      <alignment horizontal="center" wrapText="1"/>
    </xf>
    <xf numFmtId="0" fontId="47" fillId="15" borderId="2" xfId="0" applyFont="1" applyFill="1" applyBorder="1" applyAlignment="1">
      <alignment horizontal="center" wrapText="1"/>
    </xf>
    <xf numFmtId="164" fontId="46" fillId="0" borderId="0" xfId="1" applyFont="1" applyAlignment="1">
      <alignment vertical="top"/>
    </xf>
    <xf numFmtId="164" fontId="46" fillId="15" borderId="0" xfId="1" applyFont="1" applyFill="1" applyAlignment="1">
      <alignment vertical="top"/>
    </xf>
    <xf numFmtId="164" fontId="46" fillId="0" borderId="0" xfId="1" applyFont="1" applyFill="1" applyAlignment="1">
      <alignment vertical="top"/>
    </xf>
    <xf numFmtId="164" fontId="53" fillId="0" borderId="0" xfId="1" applyFont="1" applyAlignment="1">
      <alignment vertical="top"/>
    </xf>
    <xf numFmtId="164" fontId="53" fillId="0" borderId="0" xfId="1" applyFont="1" applyFill="1" applyAlignment="1">
      <alignment vertical="top"/>
    </xf>
    <xf numFmtId="164" fontId="53" fillId="15" borderId="0" xfId="1" applyFont="1" applyFill="1" applyAlignment="1">
      <alignment vertical="top"/>
    </xf>
    <xf numFmtId="164" fontId="37" fillId="0" borderId="0" xfId="0" applyNumberFormat="1" applyFont="1"/>
    <xf numFmtId="0" fontId="46" fillId="0" borderId="0" xfId="0" applyFont="1"/>
    <xf numFmtId="0" fontId="46" fillId="0" borderId="0" xfId="0" applyFont="1" applyAlignment="1">
      <alignment vertical="top"/>
    </xf>
    <xf numFmtId="0" fontId="47" fillId="0" borderId="3" xfId="0" applyFont="1" applyBorder="1" applyAlignment="1">
      <alignment vertical="top"/>
    </xf>
    <xf numFmtId="164" fontId="47" fillId="0" borderId="3" xfId="0" applyNumberFormat="1" applyFont="1" applyBorder="1" applyAlignment="1">
      <alignment vertical="top"/>
    </xf>
    <xf numFmtId="164" fontId="47" fillId="15" borderId="3" xfId="0" applyNumberFormat="1" applyFont="1" applyFill="1" applyBorder="1" applyAlignment="1">
      <alignment vertical="top"/>
    </xf>
    <xf numFmtId="164" fontId="22" fillId="0" borderId="3" xfId="0" applyNumberFormat="1" applyFont="1" applyBorder="1" applyAlignment="1">
      <alignment vertical="top"/>
    </xf>
    <xf numFmtId="0" fontId="47" fillId="0" borderId="0" xfId="0" applyFont="1" applyAlignment="1">
      <alignment vertical="top"/>
    </xf>
    <xf numFmtId="164" fontId="47" fillId="0" borderId="0" xfId="0" applyNumberFormat="1" applyFont="1" applyAlignment="1">
      <alignment vertical="top"/>
    </xf>
    <xf numFmtId="164" fontId="47" fillId="15" borderId="0" xfId="0" applyNumberFormat="1" applyFont="1" applyFill="1" applyAlignment="1">
      <alignment vertical="top"/>
    </xf>
    <xf numFmtId="164" fontId="22" fillId="0" borderId="0" xfId="0" applyNumberFormat="1" applyFont="1" applyAlignment="1">
      <alignment vertical="top"/>
    </xf>
    <xf numFmtId="164" fontId="46" fillId="0" borderId="0" xfId="1" applyFont="1" applyFill="1" applyAlignment="1">
      <alignment horizontal="left" vertical="top"/>
    </xf>
    <xf numFmtId="164" fontId="46" fillId="0" borderId="0" xfId="0" applyNumberFormat="1" applyFont="1" applyAlignment="1">
      <alignment vertical="top"/>
    </xf>
    <xf numFmtId="164" fontId="46" fillId="15" borderId="0" xfId="0" applyNumberFormat="1" applyFont="1" applyFill="1" applyAlignment="1">
      <alignment vertical="top"/>
    </xf>
    <xf numFmtId="0" fontId="47" fillId="0" borderId="4" xfId="0" applyFont="1" applyBorder="1" applyAlignment="1">
      <alignment vertical="top"/>
    </xf>
    <xf numFmtId="164" fontId="47" fillId="0" borderId="4" xfId="0" applyNumberFormat="1" applyFont="1" applyBorder="1" applyAlignment="1">
      <alignment vertical="top"/>
    </xf>
    <xf numFmtId="164" fontId="47" fillId="15" borderId="4" xfId="0" applyNumberFormat="1" applyFont="1" applyFill="1" applyBorder="1" applyAlignment="1">
      <alignment vertical="top"/>
    </xf>
    <xf numFmtId="164" fontId="47" fillId="0" borderId="3" xfId="1" applyFont="1" applyFill="1" applyBorder="1" applyAlignment="1">
      <alignment vertical="top"/>
    </xf>
    <xf numFmtId="164" fontId="47" fillId="15" borderId="3" xfId="1" applyFont="1" applyFill="1" applyBorder="1" applyAlignment="1">
      <alignment vertical="top"/>
    </xf>
    <xf numFmtId="164" fontId="47" fillId="0" borderId="0" xfId="1" applyFont="1" applyFill="1" applyBorder="1" applyAlignment="1">
      <alignment vertical="top"/>
    </xf>
    <xf numFmtId="164" fontId="47" fillId="15" borderId="0" xfId="1" applyFont="1" applyFill="1" applyBorder="1" applyAlignment="1">
      <alignment vertical="top"/>
    </xf>
    <xf numFmtId="164" fontId="46" fillId="0" borderId="3" xfId="1" applyFont="1" applyFill="1" applyBorder="1" applyAlignment="1">
      <alignment vertical="top"/>
    </xf>
    <xf numFmtId="164" fontId="46" fillId="15" borderId="3" xfId="1" applyFont="1" applyFill="1" applyBorder="1" applyAlignment="1">
      <alignment vertical="top"/>
    </xf>
    <xf numFmtId="164" fontId="46" fillId="0" borderId="0" xfId="1" applyFont="1" applyFill="1" applyBorder="1" applyAlignment="1">
      <alignment vertical="top"/>
    </xf>
    <xf numFmtId="164" fontId="46" fillId="15" borderId="0" xfId="1" applyFont="1" applyFill="1" applyBorder="1" applyAlignment="1">
      <alignment vertical="top"/>
    </xf>
    <xf numFmtId="164" fontId="47" fillId="0" borderId="5" xfId="1" applyFont="1" applyFill="1" applyBorder="1" applyAlignment="1">
      <alignment vertical="top"/>
    </xf>
    <xf numFmtId="164" fontId="47" fillId="15" borderId="5" xfId="1" applyFont="1" applyFill="1" applyBorder="1" applyAlignment="1">
      <alignment vertical="top"/>
    </xf>
    <xf numFmtId="0" fontId="47" fillId="0" borderId="6" xfId="0" applyFont="1" applyBorder="1" applyAlignment="1">
      <alignment vertical="top"/>
    </xf>
    <xf numFmtId="164" fontId="47" fillId="0" borderId="6" xfId="0" applyNumberFormat="1" applyFont="1" applyBorder="1" applyAlignment="1">
      <alignment vertical="top"/>
    </xf>
    <xf numFmtId="164" fontId="47" fillId="15" borderId="6" xfId="0" applyNumberFormat="1" applyFont="1" applyFill="1" applyBorder="1" applyAlignment="1">
      <alignment vertical="top"/>
    </xf>
    <xf numFmtId="164" fontId="22" fillId="0" borderId="6" xfId="0" applyNumberFormat="1" applyFont="1" applyBorder="1" applyAlignment="1">
      <alignment vertical="top"/>
    </xf>
    <xf numFmtId="0" fontId="7" fillId="6" borderId="0" xfId="0" applyFont="1" applyFill="1" applyAlignment="1">
      <alignment vertical="top"/>
    </xf>
    <xf numFmtId="164" fontId="7" fillId="6" borderId="0" xfId="0" applyNumberFormat="1" applyFont="1" applyFill="1" applyAlignment="1">
      <alignment vertical="top"/>
    </xf>
    <xf numFmtId="164" fontId="7" fillId="6" borderId="0" xfId="1" applyFont="1" applyFill="1" applyAlignment="1">
      <alignment vertical="top"/>
    </xf>
    <xf numFmtId="43" fontId="25" fillId="0" borderId="0" xfId="0" applyNumberFormat="1" applyFont="1"/>
    <xf numFmtId="164" fontId="46" fillId="0" borderId="0" xfId="0" applyNumberFormat="1" applyFont="1"/>
    <xf numFmtId="165" fontId="25" fillId="0" borderId="10" xfId="0" applyNumberFormat="1" applyFont="1" applyBorder="1"/>
    <xf numFmtId="43" fontId="46" fillId="0" borderId="0" xfId="1" applyNumberFormat="1" applyFont="1" applyFill="1" applyAlignment="1">
      <alignment vertical="top"/>
    </xf>
    <xf numFmtId="164" fontId="22" fillId="15" borderId="3" xfId="0" applyNumberFormat="1" applyFont="1" applyFill="1" applyBorder="1" applyAlignment="1">
      <alignment vertical="top"/>
    </xf>
    <xf numFmtId="0" fontId="9" fillId="0" borderId="0" xfId="0" applyFont="1" applyAlignment="1">
      <alignment vertical="top"/>
    </xf>
    <xf numFmtId="164" fontId="29" fillId="0" borderId="0" xfId="1" applyFont="1"/>
    <xf numFmtId="0" fontId="14" fillId="3" borderId="0" xfId="0" applyFont="1" applyFill="1"/>
    <xf numFmtId="0" fontId="54" fillId="0" borderId="0" xfId="0" applyFont="1"/>
    <xf numFmtId="0" fontId="32" fillId="0" borderId="0" xfId="0" applyFont="1"/>
    <xf numFmtId="43" fontId="29" fillId="0" borderId="0" xfId="0" applyNumberFormat="1" applyFont="1"/>
    <xf numFmtId="164" fontId="30" fillId="0" borderId="0" xfId="1" applyFont="1"/>
    <xf numFmtId="164" fontId="17" fillId="0" borderId="0" xfId="1" applyFont="1" applyFill="1" applyBorder="1"/>
    <xf numFmtId="0" fontId="12" fillId="19" borderId="4" xfId="0" applyFont="1" applyFill="1" applyBorder="1" applyAlignment="1">
      <alignment horizontal="left"/>
    </xf>
    <xf numFmtId="0" fontId="12" fillId="19" borderId="4" xfId="0" applyFont="1" applyFill="1" applyBorder="1"/>
    <xf numFmtId="164" fontId="12" fillId="19" borderId="4" xfId="0" applyNumberFormat="1" applyFont="1" applyFill="1" applyBorder="1"/>
    <xf numFmtId="164" fontId="12" fillId="19" borderId="4" xfId="1" applyFont="1" applyFill="1" applyBorder="1"/>
    <xf numFmtId="0" fontId="12" fillId="25" borderId="0" xfId="0" applyFont="1" applyFill="1" applyAlignment="1">
      <alignment horizontal="left"/>
    </xf>
    <xf numFmtId="0" fontId="12" fillId="25" borderId="0" xfId="0" applyFont="1" applyFill="1"/>
    <xf numFmtId="164" fontId="12" fillId="25" borderId="0" xfId="1" applyFont="1" applyFill="1"/>
    <xf numFmtId="164" fontId="12" fillId="25" borderId="0" xfId="1" applyFont="1" applyFill="1" applyBorder="1"/>
    <xf numFmtId="0" fontId="12" fillId="17" borderId="4" xfId="0" applyFont="1" applyFill="1" applyBorder="1" applyAlignment="1">
      <alignment horizontal="left"/>
    </xf>
    <xf numFmtId="0" fontId="12" fillId="17" borderId="4" xfId="0" applyFont="1" applyFill="1" applyBorder="1"/>
    <xf numFmtId="164" fontId="12" fillId="17" borderId="4" xfId="1" applyFont="1" applyFill="1" applyBorder="1"/>
    <xf numFmtId="0" fontId="46" fillId="0" borderId="3" xfId="0" applyFont="1" applyBorder="1" applyAlignment="1">
      <alignment vertical="top"/>
    </xf>
    <xf numFmtId="0" fontId="47" fillId="0" borderId="5" xfId="0" applyFont="1" applyBorder="1" applyAlignment="1">
      <alignment vertical="top"/>
    </xf>
    <xf numFmtId="0" fontId="46" fillId="0" borderId="0" xfId="0" applyFont="1" applyAlignment="1">
      <alignment horizontal="left" vertical="top" indent="1"/>
    </xf>
    <xf numFmtId="0" fontId="53" fillId="0" borderId="0" xfId="0" quotePrefix="1" applyFont="1" applyAlignment="1">
      <alignment vertical="top"/>
    </xf>
    <xf numFmtId="0" fontId="55" fillId="0" borderId="2" xfId="0" applyFont="1" applyBorder="1"/>
    <xf numFmtId="0" fontId="55" fillId="0" borderId="0" xfId="0" applyFont="1"/>
    <xf numFmtId="166" fontId="29" fillId="0" borderId="0" xfId="4" applyNumberFormat="1" applyFont="1" applyFill="1"/>
    <xf numFmtId="0" fontId="29" fillId="0" borderId="35" xfId="0" applyFont="1" applyBorder="1"/>
    <xf numFmtId="166" fontId="29" fillId="0" borderId="35" xfId="3" applyNumberFormat="1" applyFont="1" applyBorder="1"/>
    <xf numFmtId="165" fontId="29" fillId="0" borderId="35" xfId="4" applyNumberFormat="1" applyFont="1" applyBorder="1"/>
    <xf numFmtId="0" fontId="29" fillId="0" borderId="35" xfId="0" applyFont="1" applyBorder="1" applyAlignment="1">
      <alignment wrapText="1"/>
    </xf>
    <xf numFmtId="1" fontId="29" fillId="0" borderId="35" xfId="0" applyNumberFormat="1" applyFont="1" applyBorder="1"/>
    <xf numFmtId="0" fontId="4" fillId="19" borderId="35" xfId="0" applyFont="1" applyFill="1" applyBorder="1"/>
    <xf numFmtId="165" fontId="4" fillId="19" borderId="35" xfId="4" applyNumberFormat="1" applyFont="1" applyFill="1" applyBorder="1"/>
    <xf numFmtId="0" fontId="4" fillId="0" borderId="35" xfId="0" applyFont="1" applyBorder="1"/>
    <xf numFmtId="166" fontId="4" fillId="0" borderId="35" xfId="3" applyNumberFormat="1" applyFont="1" applyBorder="1"/>
    <xf numFmtId="165" fontId="4" fillId="0" borderId="35" xfId="4" applyNumberFormat="1" applyFont="1" applyBorder="1"/>
    <xf numFmtId="165" fontId="4" fillId="0" borderId="36" xfId="4" applyNumberFormat="1" applyFont="1" applyBorder="1"/>
    <xf numFmtId="165" fontId="29" fillId="0" borderId="0" xfId="0" applyNumberFormat="1" applyFont="1"/>
    <xf numFmtId="0" fontId="29" fillId="0" borderId="35" xfId="0" applyFont="1" applyBorder="1" applyAlignment="1">
      <alignment horizontal="left" indent="1"/>
    </xf>
    <xf numFmtId="1" fontId="4" fillId="0" borderId="35" xfId="4" applyNumberFormat="1" applyFont="1" applyBorder="1"/>
    <xf numFmtId="10" fontId="29" fillId="0" borderId="35" xfId="2" applyNumberFormat="1" applyFont="1" applyBorder="1"/>
    <xf numFmtId="43" fontId="29" fillId="0" borderId="35" xfId="3" applyFont="1" applyBorder="1"/>
    <xf numFmtId="43" fontId="29" fillId="0" borderId="35" xfId="3" applyFont="1" applyBorder="1" applyAlignment="1">
      <alignment wrapText="1"/>
    </xf>
    <xf numFmtId="43" fontId="29" fillId="0" borderId="35" xfId="1" applyNumberFormat="1" applyFont="1" applyBorder="1" applyAlignment="1">
      <alignment wrapText="1"/>
    </xf>
    <xf numFmtId="0" fontId="57" fillId="0" borderId="2" xfId="0" applyFont="1" applyBorder="1"/>
    <xf numFmtId="0" fontId="0" fillId="0" borderId="2" xfId="0" applyBorder="1"/>
    <xf numFmtId="9" fontId="0" fillId="0" borderId="0" xfId="0" applyNumberFormat="1"/>
    <xf numFmtId="166" fontId="0" fillId="0" borderId="0" xfId="3" applyNumberFormat="1" applyFont="1" applyBorder="1"/>
    <xf numFmtId="166" fontId="0" fillId="0" borderId="10" xfId="3" applyNumberFormat="1" applyFont="1" applyBorder="1"/>
    <xf numFmtId="166" fontId="0" fillId="0" borderId="2" xfId="3" applyNumberFormat="1" applyFont="1" applyBorder="1"/>
    <xf numFmtId="166" fontId="0" fillId="0" borderId="12" xfId="3" applyNumberFormat="1" applyFont="1" applyBorder="1"/>
    <xf numFmtId="166" fontId="0" fillId="0" borderId="0" xfId="3" applyNumberFormat="1" applyFont="1"/>
    <xf numFmtId="166" fontId="3" fillId="26" borderId="0" xfId="0" applyNumberFormat="1" applyFont="1" applyFill="1"/>
    <xf numFmtId="166" fontId="0" fillId="0" borderId="0" xfId="3" applyNumberFormat="1" applyFont="1" applyFill="1" applyBorder="1"/>
    <xf numFmtId="0" fontId="0" fillId="0" borderId="0" xfId="0" applyAlignment="1">
      <alignment horizontal="left"/>
    </xf>
    <xf numFmtId="0" fontId="9" fillId="27" borderId="0" xfId="0" applyFont="1" applyFill="1" applyAlignment="1">
      <alignment vertical="top"/>
    </xf>
    <xf numFmtId="0" fontId="9" fillId="27" borderId="0" xfId="0" applyFont="1" applyFill="1"/>
    <xf numFmtId="165" fontId="25" fillId="0" borderId="44" xfId="1" applyNumberFormat="1" applyFont="1" applyFill="1" applyBorder="1" applyAlignment="1">
      <alignment horizontal="left"/>
    </xf>
    <xf numFmtId="165" fontId="22" fillId="17" borderId="4" xfId="1" applyNumberFormat="1" applyFont="1" applyFill="1" applyBorder="1" applyAlignment="1">
      <alignment vertical="top"/>
    </xf>
    <xf numFmtId="165" fontId="22" fillId="17" borderId="4" xfId="1" applyNumberFormat="1" applyFont="1" applyFill="1" applyBorder="1"/>
    <xf numFmtId="165" fontId="22" fillId="17" borderId="23" xfId="1" applyNumberFormat="1" applyFont="1" applyFill="1" applyBorder="1"/>
    <xf numFmtId="165" fontId="22" fillId="17" borderId="0" xfId="1" applyNumberFormat="1" applyFont="1" applyFill="1"/>
    <xf numFmtId="9" fontId="25" fillId="0" borderId="0" xfId="0" applyNumberFormat="1" applyFont="1" applyAlignment="1">
      <alignment vertical="top"/>
    </xf>
    <xf numFmtId="0" fontId="58" fillId="0" borderId="0" xfId="0" applyFont="1" applyAlignment="1">
      <alignment horizontal="left" vertical="top"/>
    </xf>
    <xf numFmtId="164" fontId="58" fillId="0" borderId="0" xfId="1" applyFont="1" applyFill="1" applyAlignment="1">
      <alignment vertical="top"/>
    </xf>
    <xf numFmtId="164" fontId="58" fillId="15" borderId="0" xfId="1" applyFont="1" applyFill="1" applyAlignment="1">
      <alignment vertical="top"/>
    </xf>
    <xf numFmtId="164" fontId="6" fillId="0" borderId="0" xfId="0" applyNumberFormat="1" applyFont="1"/>
    <xf numFmtId="9" fontId="6" fillId="0" borderId="0" xfId="2" applyFont="1"/>
    <xf numFmtId="165" fontId="22" fillId="0" borderId="4" xfId="0" applyNumberFormat="1" applyFont="1" applyBorder="1" applyAlignment="1">
      <alignment vertical="top"/>
    </xf>
    <xf numFmtId="165" fontId="22" fillId="0" borderId="28" xfId="0" applyNumberFormat="1" applyFont="1" applyBorder="1" applyAlignment="1">
      <alignment vertical="top"/>
    </xf>
    <xf numFmtId="0" fontId="29" fillId="0" borderId="38" xfId="0" applyFont="1" applyBorder="1"/>
    <xf numFmtId="0" fontId="31" fillId="0" borderId="16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166" fontId="29" fillId="0" borderId="0" xfId="0" applyNumberFormat="1" applyFont="1"/>
    <xf numFmtId="0" fontId="25" fillId="14" borderId="10" xfId="0" applyFont="1" applyFill="1" applyBorder="1" applyAlignment="1">
      <alignment wrapText="1"/>
    </xf>
    <xf numFmtId="0" fontId="25" fillId="14" borderId="0" xfId="0" applyFont="1" applyFill="1" applyAlignment="1">
      <alignment wrapText="1"/>
    </xf>
    <xf numFmtId="165" fontId="25" fillId="14" borderId="38" xfId="1" applyNumberFormat="1" applyFont="1" applyFill="1" applyBorder="1" applyAlignment="1">
      <alignment vertical="top"/>
    </xf>
    <xf numFmtId="9" fontId="0" fillId="0" borderId="0" xfId="0" applyNumberFormat="1" applyAlignment="1">
      <alignment vertical="top"/>
    </xf>
    <xf numFmtId="9" fontId="0" fillId="0" borderId="2" xfId="0" applyNumberFormat="1" applyBorder="1" applyAlignment="1">
      <alignment vertical="top"/>
    </xf>
    <xf numFmtId="167" fontId="13" fillId="0" borderId="0" xfId="2" applyNumberFormat="1" applyFont="1"/>
    <xf numFmtId="166" fontId="0" fillId="0" borderId="0" xfId="3" applyNumberFormat="1" applyFont="1" applyFill="1" applyBorder="1" applyAlignment="1">
      <alignment vertical="top"/>
    </xf>
    <xf numFmtId="166" fontId="0" fillId="0" borderId="10" xfId="3" applyNumberFormat="1" applyFont="1" applyBorder="1" applyAlignment="1">
      <alignment vertical="top"/>
    </xf>
    <xf numFmtId="166" fontId="0" fillId="0" borderId="0" xfId="3" applyNumberFormat="1" applyFont="1" applyBorder="1" applyAlignment="1">
      <alignment vertical="top"/>
    </xf>
    <xf numFmtId="166" fontId="0" fillId="0" borderId="2" xfId="3" applyNumberFormat="1" applyFont="1" applyBorder="1" applyAlignment="1">
      <alignment vertical="top"/>
    </xf>
    <xf numFmtId="166" fontId="0" fillId="0" borderId="12" xfId="3" applyNumberFormat="1" applyFont="1" applyBorder="1" applyAlignment="1">
      <alignment vertical="top"/>
    </xf>
    <xf numFmtId="166" fontId="0" fillId="0" borderId="2" xfId="3" applyNumberFormat="1" applyFont="1" applyFill="1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vertical="top" wrapText="1"/>
    </xf>
    <xf numFmtId="0" fontId="0" fillId="0" borderId="11" xfId="0" applyBorder="1" applyAlignment="1">
      <alignment wrapText="1"/>
    </xf>
    <xf numFmtId="171" fontId="25" fillId="0" borderId="35" xfId="1" applyNumberFormat="1" applyFont="1" applyBorder="1"/>
    <xf numFmtId="0" fontId="0" fillId="15" borderId="7" xfId="0" applyFill="1" applyBorder="1" applyAlignment="1">
      <alignment vertical="top" wrapText="1"/>
    </xf>
    <xf numFmtId="0" fontId="0" fillId="15" borderId="3" xfId="0" applyFill="1" applyBorder="1" applyAlignment="1">
      <alignment vertical="top" wrapText="1"/>
    </xf>
    <xf numFmtId="0" fontId="0" fillId="15" borderId="8" xfId="0" applyFill="1" applyBorder="1" applyAlignment="1">
      <alignment vertical="top" wrapText="1"/>
    </xf>
    <xf numFmtId="0" fontId="0" fillId="0" borderId="0" xfId="0" applyAlignment="1">
      <alignment wrapText="1"/>
    </xf>
    <xf numFmtId="164" fontId="22" fillId="0" borderId="40" xfId="1" applyFont="1" applyBorder="1"/>
    <xf numFmtId="164" fontId="22" fillId="0" borderId="35" xfId="1" applyFont="1" applyBorder="1" applyAlignment="1">
      <alignment vertical="top"/>
    </xf>
    <xf numFmtId="43" fontId="0" fillId="0" borderId="0" xfId="0" applyNumberFormat="1"/>
    <xf numFmtId="0" fontId="59" fillId="0" borderId="0" xfId="0" applyFont="1"/>
    <xf numFmtId="166" fontId="59" fillId="0" borderId="0" xfId="3" applyNumberFormat="1" applyFont="1"/>
    <xf numFmtId="166" fontId="60" fillId="0" borderId="0" xfId="0" applyNumberFormat="1" applyFont="1"/>
    <xf numFmtId="43" fontId="59" fillId="0" borderId="0" xfId="0" applyNumberFormat="1" applyFont="1"/>
    <xf numFmtId="0" fontId="0" fillId="0" borderId="35" xfId="0" applyBorder="1"/>
    <xf numFmtId="0" fontId="3" fillId="0" borderId="35" xfId="0" applyFont="1" applyBorder="1"/>
    <xf numFmtId="2" fontId="29" fillId="0" borderId="35" xfId="3" applyNumberFormat="1" applyFont="1" applyBorder="1"/>
    <xf numFmtId="2" fontId="29" fillId="0" borderId="35" xfId="0" applyNumberFormat="1" applyFont="1" applyBorder="1"/>
    <xf numFmtId="166" fontId="29" fillId="0" borderId="14" xfId="3" applyNumberFormat="1" applyFont="1" applyFill="1" applyBorder="1"/>
    <xf numFmtId="166" fontId="29" fillId="0" borderId="37" xfId="3" applyNumberFormat="1" applyFont="1" applyFill="1" applyBorder="1"/>
    <xf numFmtId="164" fontId="12" fillId="0" borderId="0" xfId="1" applyFont="1" applyFill="1" applyAlignment="1">
      <alignment vertical="top"/>
    </xf>
    <xf numFmtId="164" fontId="13" fillId="0" borderId="0" xfId="1" applyFont="1" applyFill="1" applyAlignment="1">
      <alignment vertical="top"/>
    </xf>
    <xf numFmtId="164" fontId="13" fillId="15" borderId="0" xfId="1" applyFont="1" applyFill="1" applyAlignment="1">
      <alignment vertical="top"/>
    </xf>
    <xf numFmtId="164" fontId="12" fillId="15" borderId="0" xfId="1" applyFont="1" applyFill="1" applyAlignment="1">
      <alignment vertical="top"/>
    </xf>
    <xf numFmtId="10" fontId="45" fillId="15" borderId="0" xfId="1" applyNumberFormat="1" applyFont="1" applyFill="1" applyAlignment="1">
      <alignment vertical="top"/>
    </xf>
    <xf numFmtId="164" fontId="13" fillId="15" borderId="0" xfId="0" applyNumberFormat="1" applyFont="1" applyFill="1"/>
    <xf numFmtId="9" fontId="12" fillId="0" borderId="0" xfId="2" applyFont="1" applyBorder="1"/>
    <xf numFmtId="9" fontId="12" fillId="15" borderId="0" xfId="2" applyFont="1" applyFill="1" applyBorder="1"/>
    <xf numFmtId="9" fontId="12" fillId="0" borderId="4" xfId="2" applyFont="1" applyBorder="1"/>
    <xf numFmtId="9" fontId="12" fillId="15" borderId="4" xfId="2" applyFont="1" applyFill="1" applyBorder="1"/>
    <xf numFmtId="165" fontId="29" fillId="9" borderId="0" xfId="1" applyNumberFormat="1" applyFont="1" applyFill="1"/>
    <xf numFmtId="166" fontId="29" fillId="0" borderId="25" xfId="3" applyNumberFormat="1" applyFont="1" applyFill="1" applyBorder="1"/>
    <xf numFmtId="0" fontId="0" fillId="0" borderId="38" xfId="0" quotePrefix="1" applyBorder="1" applyAlignment="1">
      <alignment vertical="top" wrapText="1"/>
    </xf>
    <xf numFmtId="0" fontId="0" fillId="0" borderId="38" xfId="0" applyBorder="1" applyAlignment="1">
      <alignment vertical="top" wrapText="1"/>
    </xf>
    <xf numFmtId="165" fontId="22" fillId="0" borderId="3" xfId="1" applyNumberFormat="1" applyFont="1" applyBorder="1"/>
    <xf numFmtId="0" fontId="22" fillId="15" borderId="13" xfId="0" applyFont="1" applyFill="1" applyBorder="1"/>
    <xf numFmtId="165" fontId="22" fillId="15" borderId="13" xfId="1" applyNumberFormat="1" applyFont="1" applyFill="1" applyBorder="1"/>
    <xf numFmtId="164" fontId="4" fillId="19" borderId="35" xfId="4" applyFont="1" applyFill="1" applyBorder="1"/>
    <xf numFmtId="0" fontId="0" fillId="0" borderId="38" xfId="0" applyBorder="1" applyAlignment="1">
      <alignment horizontal="center" vertical="top" wrapText="1"/>
    </xf>
    <xf numFmtId="165" fontId="0" fillId="0" borderId="38" xfId="1" applyNumberFormat="1" applyFont="1" applyFill="1" applyBorder="1" applyAlignment="1">
      <alignment vertical="top" wrapText="1"/>
    </xf>
    <xf numFmtId="0" fontId="3" fillId="15" borderId="35" xfId="0" applyFont="1" applyFill="1" applyBorder="1" applyAlignment="1">
      <alignment vertical="top" wrapText="1"/>
    </xf>
    <xf numFmtId="9" fontId="0" fillId="0" borderId="0" xfId="2" applyFont="1" applyFill="1" applyBorder="1" applyAlignment="1">
      <alignment vertical="top" wrapText="1"/>
    </xf>
    <xf numFmtId="165" fontId="0" fillId="0" borderId="0" xfId="1" applyNumberFormat="1" applyFont="1" applyFill="1" applyBorder="1" applyAlignment="1">
      <alignment horizontal="right" vertical="top" wrapText="1"/>
    </xf>
    <xf numFmtId="165" fontId="0" fillId="0" borderId="0" xfId="1" applyNumberFormat="1" applyFont="1" applyFill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0" fillId="0" borderId="39" xfId="0" applyBorder="1" applyAlignment="1">
      <alignment vertical="top" wrapText="1"/>
    </xf>
    <xf numFmtId="1" fontId="25" fillId="0" borderId="0" xfId="0" applyNumberFormat="1" applyFont="1" applyAlignment="1">
      <alignment vertical="top"/>
    </xf>
    <xf numFmtId="172" fontId="25" fillId="0" borderId="0" xfId="0" applyNumberFormat="1" applyFont="1" applyAlignment="1">
      <alignment vertical="top"/>
    </xf>
    <xf numFmtId="165" fontId="0" fillId="0" borderId="38" xfId="1" applyNumberFormat="1" applyFont="1" applyBorder="1" applyAlignment="1">
      <alignment horizontal="right" vertical="top" wrapText="1"/>
    </xf>
    <xf numFmtId="9" fontId="0" fillId="0" borderId="0" xfId="1" applyNumberFormat="1" applyFont="1" applyFill="1" applyBorder="1" applyAlignment="1">
      <alignment vertical="top" wrapText="1"/>
    </xf>
    <xf numFmtId="9" fontId="0" fillId="0" borderId="0" xfId="0" applyNumberFormat="1" applyAlignment="1">
      <alignment vertical="top" wrapText="1"/>
    </xf>
    <xf numFmtId="165" fontId="59" fillId="0" borderId="0" xfId="1" applyNumberFormat="1" applyFont="1" applyFill="1" applyBorder="1" applyAlignment="1">
      <alignment horizontal="right" vertical="top" wrapText="1"/>
    </xf>
    <xf numFmtId="165" fontId="59" fillId="0" borderId="0" xfId="1" applyNumberFormat="1" applyFont="1" applyFill="1" applyBorder="1" applyAlignment="1">
      <alignment vertical="top" wrapText="1"/>
    </xf>
    <xf numFmtId="9" fontId="0" fillId="0" borderId="35" xfId="2" applyFont="1" applyBorder="1"/>
    <xf numFmtId="165" fontId="0" fillId="0" borderId="35" xfId="1" applyNumberFormat="1" applyFont="1" applyBorder="1"/>
    <xf numFmtId="10" fontId="25" fillId="0" borderId="0" xfId="1" applyNumberFormat="1" applyFont="1"/>
    <xf numFmtId="167" fontId="6" fillId="0" borderId="0" xfId="2" applyNumberFormat="1" applyFont="1"/>
    <xf numFmtId="167" fontId="0" fillId="0" borderId="0" xfId="0" applyNumberFormat="1" applyAlignment="1">
      <alignment vertical="top" wrapText="1"/>
    </xf>
    <xf numFmtId="167" fontId="29" fillId="0" borderId="0" xfId="2" applyNumberFormat="1" applyFont="1"/>
    <xf numFmtId="0" fontId="0" fillId="0" borderId="39" xfId="0" applyBorder="1"/>
    <xf numFmtId="167" fontId="25" fillId="15" borderId="0" xfId="2" applyNumberFormat="1" applyFont="1" applyFill="1"/>
    <xf numFmtId="167" fontId="6" fillId="0" borderId="2" xfId="2" applyNumberFormat="1" applyFont="1" applyBorder="1"/>
    <xf numFmtId="167" fontId="10" fillId="0" borderId="0" xfId="1" applyNumberFormat="1" applyFont="1" applyFill="1" applyAlignment="1">
      <alignment vertical="top"/>
    </xf>
    <xf numFmtId="167" fontId="10" fillId="15" borderId="0" xfId="1" applyNumberFormat="1" applyFont="1" applyFill="1" applyAlignment="1">
      <alignment vertical="top"/>
    </xf>
    <xf numFmtId="0" fontId="29" fillId="9" borderId="0" xfId="0" applyFont="1" applyFill="1"/>
    <xf numFmtId="164" fontId="62" fillId="0" borderId="0" xfId="0" applyNumberFormat="1" applyFont="1" applyAlignment="1">
      <alignment vertical="top"/>
    </xf>
    <xf numFmtId="167" fontId="62" fillId="0" borderId="0" xfId="2" applyNumberFormat="1" applyFont="1" applyAlignment="1">
      <alignment vertical="top"/>
    </xf>
    <xf numFmtId="167" fontId="43" fillId="15" borderId="0" xfId="0" applyNumberFormat="1" applyFont="1" applyFill="1" applyAlignment="1">
      <alignment vertical="top"/>
    </xf>
    <xf numFmtId="165" fontId="25" fillId="15" borderId="22" xfId="1" applyNumberFormat="1" applyFont="1" applyFill="1" applyBorder="1" applyAlignment="1">
      <alignment vertical="top"/>
    </xf>
    <xf numFmtId="165" fontId="25" fillId="0" borderId="4" xfId="1" applyNumberFormat="1" applyFont="1" applyBorder="1" applyAlignment="1">
      <alignment vertical="top"/>
    </xf>
    <xf numFmtId="165" fontId="25" fillId="0" borderId="21" xfId="1" applyNumberFormat="1" applyFont="1" applyBorder="1"/>
    <xf numFmtId="165" fontId="25" fillId="0" borderId="21" xfId="1" applyNumberFormat="1" applyFont="1" applyBorder="1" applyAlignment="1">
      <alignment vertical="top"/>
    </xf>
    <xf numFmtId="165" fontId="25" fillId="0" borderId="22" xfId="1" applyNumberFormat="1" applyFont="1" applyBorder="1" applyAlignment="1">
      <alignment vertical="top"/>
    </xf>
    <xf numFmtId="165" fontId="25" fillId="15" borderId="15" xfId="1" applyNumberFormat="1" applyFont="1" applyFill="1" applyBorder="1" applyAlignment="1">
      <alignment vertical="top"/>
    </xf>
    <xf numFmtId="165" fontId="25" fillId="0" borderId="18" xfId="1" applyNumberFormat="1" applyFont="1" applyBorder="1" applyAlignment="1">
      <alignment vertical="top"/>
    </xf>
    <xf numFmtId="165" fontId="25" fillId="15" borderId="19" xfId="1" applyNumberFormat="1" applyFont="1" applyFill="1" applyBorder="1" applyAlignment="1">
      <alignment vertical="top"/>
    </xf>
    <xf numFmtId="165" fontId="25" fillId="0" borderId="2" xfId="1" applyNumberFormat="1" applyFont="1" applyBorder="1" applyAlignment="1">
      <alignment vertical="top"/>
    </xf>
    <xf numFmtId="174" fontId="25" fillId="0" borderId="0" xfId="0" applyNumberFormat="1" applyFont="1"/>
    <xf numFmtId="165" fontId="25" fillId="5" borderId="0" xfId="1" applyNumberFormat="1" applyFont="1" applyFill="1"/>
    <xf numFmtId="173" fontId="0" fillId="0" borderId="39" xfId="1" applyNumberFormat="1" applyFont="1" applyBorder="1"/>
    <xf numFmtId="165" fontId="0" fillId="0" borderId="38" xfId="1" applyNumberFormat="1" applyFont="1" applyBorder="1"/>
    <xf numFmtId="0" fontId="0" fillId="0" borderId="10" xfId="0" applyBorder="1" applyAlignment="1">
      <alignment vertical="top" wrapText="1"/>
    </xf>
    <xf numFmtId="165" fontId="25" fillId="12" borderId="0" xfId="1" applyNumberFormat="1" applyFont="1" applyFill="1"/>
    <xf numFmtId="165" fontId="25" fillId="0" borderId="16" xfId="1" applyNumberFormat="1" applyFont="1" applyBorder="1" applyAlignment="1">
      <alignment vertical="top"/>
    </xf>
    <xf numFmtId="0" fontId="0" fillId="9" borderId="38" xfId="0" quotePrefix="1" applyFill="1" applyBorder="1" applyAlignment="1">
      <alignment vertical="top" wrapText="1"/>
    </xf>
    <xf numFmtId="165" fontId="0" fillId="0" borderId="0" xfId="0" applyNumberFormat="1"/>
    <xf numFmtId="165" fontId="0" fillId="0" borderId="0" xfId="1" applyNumberFormat="1" applyFont="1" applyBorder="1"/>
    <xf numFmtId="9" fontId="0" fillId="0" borderId="10" xfId="0" applyNumberFormat="1" applyBorder="1" applyAlignment="1">
      <alignment horizontal="right" vertical="top" wrapText="1"/>
    </xf>
    <xf numFmtId="165" fontId="0" fillId="0" borderId="10" xfId="1" applyNumberFormat="1" applyFont="1" applyBorder="1" applyAlignment="1">
      <alignment vertical="top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166" fontId="25" fillId="0" borderId="15" xfId="3" applyNumberFormat="1" applyFont="1" applyFill="1" applyBorder="1" applyAlignment="1">
      <alignment vertical="top"/>
    </xf>
    <xf numFmtId="166" fontId="25" fillId="0" borderId="18" xfId="3" applyNumberFormat="1" applyFont="1" applyFill="1" applyBorder="1" applyAlignment="1">
      <alignment vertical="top"/>
    </xf>
    <xf numFmtId="166" fontId="25" fillId="0" borderId="20" xfId="3" applyNumberFormat="1" applyFont="1" applyFill="1" applyBorder="1" applyAlignment="1">
      <alignment vertical="top"/>
    </xf>
    <xf numFmtId="166" fontId="25" fillId="0" borderId="19" xfId="3" applyNumberFormat="1" applyFont="1" applyFill="1" applyBorder="1" applyAlignment="1">
      <alignment vertical="top"/>
    </xf>
    <xf numFmtId="165" fontId="25" fillId="0" borderId="22" xfId="1" applyNumberFormat="1" applyFont="1" applyFill="1" applyBorder="1" applyAlignment="1">
      <alignment vertical="top"/>
    </xf>
    <xf numFmtId="165" fontId="25" fillId="0" borderId="4" xfId="1" applyNumberFormat="1" applyFont="1" applyFill="1" applyBorder="1" applyAlignment="1">
      <alignment vertical="top"/>
    </xf>
    <xf numFmtId="165" fontId="25" fillId="21" borderId="40" xfId="1" applyNumberFormat="1" applyFont="1" applyFill="1" applyBorder="1"/>
    <xf numFmtId="0" fontId="3" fillId="15" borderId="35" xfId="0" applyFont="1" applyFill="1" applyBorder="1"/>
    <xf numFmtId="17" fontId="3" fillId="15" borderId="35" xfId="0" applyNumberFormat="1" applyFont="1" applyFill="1" applyBorder="1" applyAlignment="1">
      <alignment horizontal="left"/>
    </xf>
    <xf numFmtId="0" fontId="63" fillId="10" borderId="0" xfId="0" applyFont="1" applyFill="1"/>
    <xf numFmtId="167" fontId="25" fillId="0" borderId="0" xfId="0" applyNumberFormat="1" applyFont="1"/>
    <xf numFmtId="0" fontId="25" fillId="0" borderId="38" xfId="0" applyFont="1" applyBorder="1" applyAlignment="1">
      <alignment vertical="top"/>
    </xf>
    <xf numFmtId="164" fontId="64" fillId="0" borderId="0" xfId="0" applyNumberFormat="1" applyFont="1"/>
    <xf numFmtId="9" fontId="25" fillId="0" borderId="0" xfId="2" applyFont="1"/>
    <xf numFmtId="166" fontId="29" fillId="0" borderId="32" xfId="3" applyNumberFormat="1" applyFont="1" applyBorder="1"/>
    <xf numFmtId="166" fontId="29" fillId="0" borderId="8" xfId="3" applyNumberFormat="1" applyFont="1" applyBorder="1"/>
    <xf numFmtId="0" fontId="29" fillId="0" borderId="11" xfId="0" applyFont="1" applyBorder="1"/>
    <xf numFmtId="9" fontId="29" fillId="9" borderId="2" xfId="0" applyNumberFormat="1" applyFont="1" applyFill="1" applyBorder="1"/>
    <xf numFmtId="0" fontId="29" fillId="0" borderId="2" xfId="0" applyFont="1" applyBorder="1"/>
    <xf numFmtId="166" fontId="29" fillId="0" borderId="2" xfId="0" applyNumberFormat="1" applyFont="1" applyBorder="1"/>
    <xf numFmtId="166" fontId="29" fillId="0" borderId="12" xfId="0" applyNumberFormat="1" applyFont="1" applyBorder="1"/>
    <xf numFmtId="165" fontId="29" fillId="0" borderId="0" xfId="1" applyNumberFormat="1" applyFont="1" applyBorder="1"/>
    <xf numFmtId="0" fontId="64" fillId="0" borderId="0" xfId="0" applyFont="1" applyAlignment="1">
      <alignment wrapText="1"/>
    </xf>
    <xf numFmtId="165" fontId="25" fillId="0" borderId="38" xfId="0" applyNumberFormat="1" applyFont="1" applyBorder="1"/>
    <xf numFmtId="165" fontId="25" fillId="0" borderId="44" xfId="0" applyNumberFormat="1" applyFont="1" applyBorder="1"/>
    <xf numFmtId="173" fontId="0" fillId="0" borderId="0" xfId="1" applyNumberFormat="1" applyFont="1"/>
    <xf numFmtId="174" fontId="0" fillId="0" borderId="0" xfId="0" applyNumberFormat="1"/>
    <xf numFmtId="9" fontId="0" fillId="0" borderId="2" xfId="0" applyNumberFormat="1" applyBorder="1"/>
    <xf numFmtId="0" fontId="3" fillId="0" borderId="13" xfId="0" applyFont="1" applyBorder="1" applyAlignment="1">
      <alignment vertical="top"/>
    </xf>
    <xf numFmtId="0" fontId="0" fillId="0" borderId="13" xfId="0" applyBorder="1"/>
    <xf numFmtId="0" fontId="3" fillId="0" borderId="13" xfId="0" applyFont="1" applyBorder="1" applyAlignment="1">
      <alignment horizontal="right" wrapText="1"/>
    </xf>
    <xf numFmtId="0" fontId="25" fillId="26" borderId="35" xfId="0" applyFont="1" applyFill="1" applyBorder="1"/>
    <xf numFmtId="165" fontId="25" fillId="26" borderId="35" xfId="1" applyNumberFormat="1" applyFont="1" applyFill="1" applyBorder="1"/>
    <xf numFmtId="0" fontId="0" fillId="0" borderId="3" xfId="0" applyBorder="1"/>
    <xf numFmtId="9" fontId="0" fillId="0" borderId="3" xfId="0" applyNumberFormat="1" applyBorder="1"/>
    <xf numFmtId="0" fontId="3" fillId="0" borderId="13" xfId="0" applyFont="1" applyBorder="1"/>
    <xf numFmtId="43" fontId="3" fillId="0" borderId="13" xfId="0" applyNumberFormat="1" applyFon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wrapText="1"/>
    </xf>
    <xf numFmtId="0" fontId="46" fillId="0" borderId="0" xfId="0" applyFont="1" applyAlignment="1">
      <alignment horizontal="left" vertical="top" indent="2"/>
    </xf>
    <xf numFmtId="17" fontId="3" fillId="0" borderId="13" xfId="0" applyNumberFormat="1" applyFont="1" applyBorder="1" applyAlignment="1">
      <alignment horizontal="right"/>
    </xf>
    <xf numFmtId="0" fontId="29" fillId="0" borderId="35" xfId="0" applyFont="1" applyBorder="1" applyAlignment="1">
      <alignment horizontal="left" vertical="top"/>
    </xf>
    <xf numFmtId="9" fontId="29" fillId="0" borderId="35" xfId="0" applyNumberFormat="1" applyFont="1" applyBorder="1" applyAlignment="1">
      <alignment horizontal="left" vertical="top"/>
    </xf>
    <xf numFmtId="173" fontId="0" fillId="0" borderId="0" xfId="1" applyNumberFormat="1" applyFont="1" applyBorder="1"/>
    <xf numFmtId="175" fontId="0" fillId="0" borderId="3" xfId="0" applyNumberFormat="1" applyBorder="1"/>
    <xf numFmtId="176" fontId="3" fillId="0" borderId="13" xfId="0" applyNumberFormat="1" applyFont="1" applyBorder="1"/>
    <xf numFmtId="166" fontId="0" fillId="0" borderId="2" xfId="0" applyNumberFormat="1" applyBorder="1"/>
    <xf numFmtId="165" fontId="29" fillId="0" borderId="0" xfId="1" applyNumberFormat="1" applyFont="1" applyFill="1"/>
    <xf numFmtId="0" fontId="29" fillId="0" borderId="12" xfId="0" applyFont="1" applyBorder="1"/>
    <xf numFmtId="0" fontId="29" fillId="0" borderId="0" xfId="0" applyFont="1" applyAlignment="1">
      <alignment horizontal="left" vertical="center" indent="1"/>
    </xf>
    <xf numFmtId="0" fontId="65" fillId="0" borderId="0" xfId="0" applyFont="1"/>
    <xf numFmtId="0" fontId="66" fillId="29" borderId="53" xfId="0" applyFont="1" applyFill="1" applyBorder="1" applyAlignment="1">
      <alignment vertical="center"/>
    </xf>
    <xf numFmtId="0" fontId="66" fillId="29" borderId="1" xfId="0" applyFont="1" applyFill="1" applyBorder="1" applyAlignment="1">
      <alignment vertical="center"/>
    </xf>
    <xf numFmtId="0" fontId="66" fillId="0" borderId="55" xfId="0" applyFont="1" applyBorder="1" applyAlignment="1">
      <alignment vertical="center"/>
    </xf>
    <xf numFmtId="0" fontId="66" fillId="0" borderId="54" xfId="0" applyFont="1" applyBorder="1" applyAlignment="1">
      <alignment vertical="center"/>
    </xf>
    <xf numFmtId="0" fontId="66" fillId="0" borderId="57" xfId="0" applyFont="1" applyBorder="1" applyAlignment="1">
      <alignment vertical="center"/>
    </xf>
    <xf numFmtId="0" fontId="67" fillId="30" borderId="0" xfId="0" applyFont="1" applyFill="1" applyAlignment="1">
      <alignment vertical="center"/>
    </xf>
    <xf numFmtId="0" fontId="68" fillId="30" borderId="0" xfId="0" applyFont="1" applyFill="1" applyAlignment="1">
      <alignment vertical="center"/>
    </xf>
    <xf numFmtId="0" fontId="69" fillId="0" borderId="53" xfId="0" applyFont="1" applyBorder="1" applyAlignment="1">
      <alignment vertical="center"/>
    </xf>
    <xf numFmtId="0" fontId="69" fillId="0" borderId="1" xfId="0" applyFont="1" applyBorder="1" applyAlignment="1">
      <alignment vertical="center"/>
    </xf>
    <xf numFmtId="0" fontId="65" fillId="0" borderId="0" xfId="0" applyFont="1" applyAlignment="1">
      <alignment vertical="top"/>
    </xf>
    <xf numFmtId="0" fontId="69" fillId="0" borderId="56" xfId="0" applyFont="1" applyBorder="1" applyAlignment="1">
      <alignment vertical="center"/>
    </xf>
    <xf numFmtId="0" fontId="69" fillId="0" borderId="57" xfId="0" applyFont="1" applyBorder="1" applyAlignment="1">
      <alignment vertical="center"/>
    </xf>
    <xf numFmtId="0" fontId="69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69" fillId="0" borderId="52" xfId="0" applyFont="1" applyBorder="1" applyAlignment="1">
      <alignment vertical="center"/>
    </xf>
    <xf numFmtId="0" fontId="40" fillId="14" borderId="0" xfId="0" applyFont="1" applyFill="1" applyAlignment="1">
      <alignment horizontal="left" vertical="top"/>
    </xf>
    <xf numFmtId="164" fontId="40" fillId="14" borderId="0" xfId="1" applyFont="1" applyFill="1" applyAlignment="1">
      <alignment vertical="top"/>
    </xf>
    <xf numFmtId="164" fontId="40" fillId="14" borderId="0" xfId="0" applyNumberFormat="1" applyFont="1" applyFill="1"/>
    <xf numFmtId="164" fontId="40" fillId="14" borderId="0" xfId="0" applyNumberFormat="1" applyFont="1" applyFill="1" applyAlignment="1">
      <alignment vertical="top"/>
    </xf>
    <xf numFmtId="164" fontId="58" fillId="0" borderId="0" xfId="0" applyNumberFormat="1" applyFont="1"/>
    <xf numFmtId="10" fontId="25" fillId="0" borderId="0" xfId="2" applyNumberFormat="1" applyFont="1"/>
    <xf numFmtId="164" fontId="17" fillId="0" borderId="0" xfId="0" applyNumberFormat="1" applyFont="1"/>
    <xf numFmtId="0" fontId="0" fillId="19" borderId="0" xfId="0" applyFill="1"/>
    <xf numFmtId="0" fontId="3" fillId="19" borderId="13" xfId="0" applyFont="1" applyFill="1" applyBorder="1"/>
    <xf numFmtId="0" fontId="3" fillId="19" borderId="2" xfId="0" applyFont="1" applyFill="1" applyBorder="1"/>
    <xf numFmtId="0" fontId="25" fillId="0" borderId="39" xfId="0" applyFont="1" applyBorder="1"/>
    <xf numFmtId="165" fontId="25" fillId="0" borderId="39" xfId="1" applyNumberFormat="1" applyFont="1" applyFill="1" applyBorder="1"/>
    <xf numFmtId="165" fontId="25" fillId="0" borderId="44" xfId="1" applyNumberFormat="1" applyFont="1" applyBorder="1"/>
    <xf numFmtId="165" fontId="25" fillId="0" borderId="0" xfId="1" applyNumberFormat="1" applyFont="1" applyFill="1" applyBorder="1"/>
    <xf numFmtId="0" fontId="71" fillId="0" borderId="0" xfId="0" applyFont="1" applyAlignment="1">
      <alignment horizontal="center"/>
    </xf>
    <xf numFmtId="0" fontId="14" fillId="24" borderId="35" xfId="0" applyFont="1" applyFill="1" applyBorder="1" applyAlignment="1">
      <alignment horizontal="left"/>
    </xf>
    <xf numFmtId="0" fontId="14" fillId="24" borderId="35" xfId="0" applyFont="1" applyFill="1" applyBorder="1"/>
    <xf numFmtId="0" fontId="14" fillId="24" borderId="36" xfId="0" applyFont="1" applyFill="1" applyBorder="1"/>
    <xf numFmtId="0" fontId="27" fillId="0" borderId="0" xfId="0" applyFont="1"/>
    <xf numFmtId="0" fontId="22" fillId="15" borderId="35" xfId="0" applyFont="1" applyFill="1" applyBorder="1" applyAlignment="1">
      <alignment vertical="top" wrapText="1"/>
    </xf>
    <xf numFmtId="0" fontId="22" fillId="15" borderId="35" xfId="0" applyFont="1" applyFill="1" applyBorder="1" applyAlignment="1">
      <alignment wrapText="1"/>
    </xf>
    <xf numFmtId="10" fontId="56" fillId="19" borderId="35" xfId="0" applyNumberFormat="1" applyFont="1" applyFill="1" applyBorder="1"/>
    <xf numFmtId="16" fontId="3" fillId="0" borderId="0" xfId="0" applyNumberFormat="1" applyFont="1"/>
    <xf numFmtId="165" fontId="22" fillId="17" borderId="4" xfId="0" applyNumberFormat="1" applyFont="1" applyFill="1" applyBorder="1"/>
    <xf numFmtId="165" fontId="22" fillId="17" borderId="28" xfId="0" applyNumberFormat="1" applyFont="1" applyFill="1" applyBorder="1"/>
    <xf numFmtId="0" fontId="22" fillId="17" borderId="28" xfId="0" applyFont="1" applyFill="1" applyBorder="1"/>
    <xf numFmtId="0" fontId="22" fillId="17" borderId="0" xfId="0" applyFont="1" applyFill="1"/>
    <xf numFmtId="0" fontId="66" fillId="0" borderId="0" xfId="0" applyFont="1" applyAlignment="1">
      <alignment vertical="center"/>
    </xf>
    <xf numFmtId="0" fontId="66" fillId="0" borderId="62" xfId="0" applyFont="1" applyBorder="1" applyAlignment="1">
      <alignment vertical="center"/>
    </xf>
    <xf numFmtId="0" fontId="66" fillId="0" borderId="63" xfId="0" applyFont="1" applyBorder="1" applyAlignment="1">
      <alignment vertical="center"/>
    </xf>
    <xf numFmtId="0" fontId="66" fillId="0" borderId="61" xfId="0" applyFont="1" applyBorder="1" applyAlignment="1">
      <alignment vertical="center"/>
    </xf>
    <xf numFmtId="0" fontId="0" fillId="0" borderId="58" xfId="0" applyBorder="1"/>
    <xf numFmtId="0" fontId="66" fillId="0" borderId="61" xfId="0" applyFont="1" applyBorder="1" applyAlignment="1">
      <alignment horizontal="center" vertical="center"/>
    </xf>
    <xf numFmtId="0" fontId="66" fillId="0" borderId="54" xfId="0" applyFont="1" applyBorder="1" applyAlignment="1">
      <alignment horizontal="center" vertical="center"/>
    </xf>
    <xf numFmtId="0" fontId="66" fillId="0" borderId="56" xfId="0" applyFont="1" applyBorder="1" applyAlignment="1">
      <alignment horizontal="center" vertical="center"/>
    </xf>
    <xf numFmtId="164" fontId="0" fillId="0" borderId="0" xfId="1" applyFont="1"/>
    <xf numFmtId="164" fontId="0" fillId="0" borderId="2" xfId="0" applyNumberFormat="1" applyBorder="1"/>
    <xf numFmtId="164" fontId="0" fillId="0" borderId="3" xfId="0" applyNumberFormat="1" applyBorder="1"/>
    <xf numFmtId="164" fontId="3" fillId="19" borderId="13" xfId="0" applyNumberFormat="1" applyFont="1" applyFill="1" applyBorder="1"/>
    <xf numFmtId="176" fontId="3" fillId="19" borderId="2" xfId="0" applyNumberFormat="1" applyFont="1" applyFill="1" applyBorder="1"/>
    <xf numFmtId="176" fontId="3" fillId="19" borderId="13" xfId="0" applyNumberFormat="1" applyFont="1" applyFill="1" applyBorder="1"/>
    <xf numFmtId="164" fontId="0" fillId="0" borderId="35" xfId="1" applyFont="1" applyBorder="1"/>
    <xf numFmtId="9" fontId="0" fillId="0" borderId="0" xfId="2" applyFont="1"/>
    <xf numFmtId="9" fontId="0" fillId="9" borderId="0" xfId="2" applyFont="1" applyFill="1"/>
    <xf numFmtId="0" fontId="0" fillId="9" borderId="35" xfId="0" applyFill="1" applyBorder="1"/>
    <xf numFmtId="164" fontId="0" fillId="9" borderId="35" xfId="1" applyFont="1" applyFill="1" applyBorder="1"/>
    <xf numFmtId="0" fontId="0" fillId="9" borderId="0" xfId="0" applyFill="1"/>
    <xf numFmtId="166" fontId="0" fillId="0" borderId="35" xfId="3" applyNumberFormat="1" applyFont="1" applyBorder="1"/>
    <xf numFmtId="164" fontId="0" fillId="0" borderId="0" xfId="1" applyFont="1" applyBorder="1"/>
    <xf numFmtId="2" fontId="0" fillId="0" borderId="2" xfId="0" applyNumberFormat="1" applyBorder="1"/>
    <xf numFmtId="9" fontId="6" fillId="0" borderId="0" xfId="0" applyNumberFormat="1" applyFont="1" applyAlignment="1">
      <alignment vertical="top"/>
    </xf>
    <xf numFmtId="164" fontId="6" fillId="0" borderId="0" xfId="1" applyFont="1" applyFill="1"/>
    <xf numFmtId="164" fontId="25" fillId="0" borderId="0" xfId="1" applyFont="1" applyFill="1"/>
    <xf numFmtId="10" fontId="25" fillId="15" borderId="10" xfId="2" applyNumberFormat="1" applyFont="1" applyFill="1" applyBorder="1"/>
    <xf numFmtId="10" fontId="25" fillId="15" borderId="12" xfId="2" applyNumberFormat="1" applyFont="1" applyFill="1" applyBorder="1"/>
    <xf numFmtId="167" fontId="15" fillId="0" borderId="0" xfId="2" applyNumberFormat="1" applyFont="1" applyFill="1" applyBorder="1"/>
    <xf numFmtId="164" fontId="0" fillId="0" borderId="38" xfId="1" applyFont="1" applyFill="1" applyBorder="1"/>
    <xf numFmtId="164" fontId="0" fillId="0" borderId="38" xfId="1" applyFont="1" applyBorder="1"/>
    <xf numFmtId="10" fontId="25" fillId="0" borderId="0" xfId="0" applyNumberFormat="1" applyFont="1" applyAlignment="1">
      <alignment vertical="top"/>
    </xf>
    <xf numFmtId="10" fontId="25" fillId="0" borderId="0" xfId="0" applyNumberFormat="1" applyFont="1"/>
    <xf numFmtId="10" fontId="28" fillId="0" borderId="0" xfId="3" applyNumberFormat="1" applyFont="1" applyFill="1" applyAlignment="1">
      <alignment vertical="top"/>
    </xf>
    <xf numFmtId="10" fontId="28" fillId="0" borderId="0" xfId="3" applyNumberFormat="1" applyFont="1" applyFill="1"/>
    <xf numFmtId="10" fontId="28" fillId="0" borderId="0" xfId="2" applyNumberFormat="1" applyFont="1" applyFill="1"/>
    <xf numFmtId="0" fontId="25" fillId="0" borderId="13" xfId="0" applyFont="1" applyBorder="1" applyAlignment="1">
      <alignment vertical="center"/>
    </xf>
    <xf numFmtId="0" fontId="25" fillId="0" borderId="0" xfId="0" applyFont="1" applyAlignment="1">
      <alignment vertical="center"/>
    </xf>
    <xf numFmtId="9" fontId="37" fillId="0" borderId="0" xfId="2" applyFont="1"/>
    <xf numFmtId="164" fontId="22" fillId="0" borderId="0" xfId="1" applyFont="1" applyFill="1"/>
    <xf numFmtId="2" fontId="25" fillId="0" borderId="0" xfId="0" applyNumberFormat="1" applyFont="1"/>
    <xf numFmtId="0" fontId="25" fillId="0" borderId="0" xfId="0" applyFont="1" applyAlignment="1">
      <alignment horizontal="left" indent="1"/>
    </xf>
    <xf numFmtId="0" fontId="22" fillId="0" borderId="0" xfId="0" applyFont="1" applyAlignment="1">
      <alignment horizontal="left"/>
    </xf>
    <xf numFmtId="9" fontId="71" fillId="0" borderId="0" xfId="2" applyFont="1"/>
    <xf numFmtId="10" fontId="71" fillId="0" borderId="0" xfId="2" applyNumberFormat="1" applyFont="1"/>
    <xf numFmtId="10" fontId="71" fillId="0" borderId="0" xfId="2" applyNumberFormat="1" applyFont="1" applyFill="1"/>
    <xf numFmtId="164" fontId="71" fillId="0" borderId="0" xfId="1" applyFont="1"/>
    <xf numFmtId="0" fontId="8" fillId="31" borderId="2" xfId="0" applyFont="1" applyFill="1" applyBorder="1" applyAlignment="1">
      <alignment horizontal="center" wrapText="1"/>
    </xf>
    <xf numFmtId="164" fontId="22" fillId="31" borderId="0" xfId="1" applyFont="1" applyFill="1"/>
    <xf numFmtId="0" fontId="46" fillId="31" borderId="0" xfId="0" applyFont="1" applyFill="1"/>
    <xf numFmtId="0" fontId="25" fillId="31" borderId="0" xfId="0" applyFont="1" applyFill="1"/>
    <xf numFmtId="164" fontId="25" fillId="31" borderId="0" xfId="1" applyFont="1" applyFill="1"/>
    <xf numFmtId="10" fontId="71" fillId="31" borderId="0" xfId="2" applyNumberFormat="1" applyFont="1" applyFill="1"/>
    <xf numFmtId="10" fontId="72" fillId="31" borderId="0" xfId="2" applyNumberFormat="1" applyFont="1" applyFill="1"/>
    <xf numFmtId="164" fontId="71" fillId="31" borderId="0" xfId="1" applyFont="1" applyFill="1"/>
    <xf numFmtId="167" fontId="6" fillId="0" borderId="0" xfId="2" applyNumberFormat="1" applyFont="1" applyFill="1"/>
    <xf numFmtId="164" fontId="40" fillId="0" borderId="0" xfId="0" applyNumberFormat="1" applyFont="1" applyAlignment="1">
      <alignment vertical="top"/>
    </xf>
    <xf numFmtId="164" fontId="40" fillId="0" borderId="0" xfId="0" applyNumberFormat="1" applyFont="1" applyAlignment="1">
      <alignment wrapText="1"/>
    </xf>
    <xf numFmtId="9" fontId="6" fillId="15" borderId="0" xfId="2" applyFont="1" applyFill="1"/>
    <xf numFmtId="167" fontId="6" fillId="15" borderId="0" xfId="2" applyNumberFormat="1" applyFont="1" applyFill="1"/>
    <xf numFmtId="167" fontId="6" fillId="15" borderId="2" xfId="2" applyNumberFormat="1" applyFont="1" applyFill="1" applyBorder="1"/>
    <xf numFmtId="0" fontId="14" fillId="4" borderId="0" xfId="0" applyFont="1" applyFill="1" applyAlignment="1">
      <alignment horizontal="center"/>
    </xf>
    <xf numFmtId="0" fontId="47" fillId="0" borderId="2" xfId="0" applyFont="1" applyBorder="1" applyAlignment="1">
      <alignment horizontal="left" vertical="top"/>
    </xf>
    <xf numFmtId="0" fontId="46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6" fillId="0" borderId="2" xfId="0" applyFont="1" applyBorder="1" applyAlignment="1">
      <alignment horizontal="left" vertical="top" wrapText="1"/>
    </xf>
    <xf numFmtId="164" fontId="46" fillId="0" borderId="2" xfId="1" applyFont="1" applyFill="1" applyBorder="1" applyAlignment="1">
      <alignment vertical="top"/>
    </xf>
    <xf numFmtId="9" fontId="25" fillId="15" borderId="4" xfId="2" applyFont="1" applyFill="1" applyBorder="1"/>
    <xf numFmtId="164" fontId="47" fillId="0" borderId="0" xfId="1" applyFont="1" applyFill="1" applyAlignment="1">
      <alignment vertical="top"/>
    </xf>
    <xf numFmtId="164" fontId="22" fillId="0" borderId="0" xfId="0" applyNumberFormat="1" applyFont="1"/>
    <xf numFmtId="164" fontId="27" fillId="0" borderId="0" xfId="1" applyFont="1" applyFill="1"/>
    <xf numFmtId="164" fontId="25" fillId="0" borderId="35" xfId="1" applyFont="1" applyFill="1" applyBorder="1"/>
    <xf numFmtId="165" fontId="25" fillId="0" borderId="12" xfId="1" applyNumberFormat="1" applyFont="1" applyBorder="1"/>
    <xf numFmtId="0" fontId="22" fillId="22" borderId="0" xfId="0" applyFont="1" applyFill="1"/>
    <xf numFmtId="0" fontId="25" fillId="22" borderId="0" xfId="0" applyFont="1" applyFill="1"/>
    <xf numFmtId="165" fontId="25" fillId="0" borderId="38" xfId="1" applyNumberFormat="1" applyFont="1" applyFill="1" applyBorder="1"/>
    <xf numFmtId="164" fontId="25" fillId="0" borderId="10" xfId="0" applyNumberFormat="1" applyFont="1" applyBorder="1"/>
    <xf numFmtId="165" fontId="25" fillId="0" borderId="2" xfId="1" applyNumberFormat="1" applyFont="1" applyFill="1" applyBorder="1"/>
    <xf numFmtId="165" fontId="25" fillId="0" borderId="12" xfId="1" applyNumberFormat="1" applyFont="1" applyFill="1" applyBorder="1"/>
    <xf numFmtId="0" fontId="73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43" fontId="25" fillId="0" borderId="4" xfId="0" applyNumberFormat="1" applyFont="1" applyBorder="1"/>
    <xf numFmtId="0" fontId="40" fillId="0" borderId="0" xfId="0" applyFont="1" applyAlignment="1">
      <alignment horizontal="left" vertical="top" wrapText="1"/>
    </xf>
    <xf numFmtId="166" fontId="64" fillId="0" borderId="0" xfId="3" applyNumberFormat="1" applyFont="1"/>
    <xf numFmtId="0" fontId="64" fillId="0" borderId="0" xfId="0" applyFont="1"/>
    <xf numFmtId="166" fontId="29" fillId="0" borderId="0" xfId="3" applyNumberFormat="1" applyFont="1" applyBorder="1"/>
    <xf numFmtId="0" fontId="29" fillId="21" borderId="0" xfId="0" applyFont="1" applyFill="1"/>
    <xf numFmtId="0" fontId="14" fillId="4" borderId="52" xfId="0" applyFont="1" applyFill="1" applyBorder="1" applyAlignment="1">
      <alignment horizontal="center"/>
    </xf>
    <xf numFmtId="0" fontId="14" fillId="4" borderId="55" xfId="0" applyFont="1" applyFill="1" applyBorder="1" applyAlignment="1">
      <alignment horizontal="center"/>
    </xf>
    <xf numFmtId="0" fontId="29" fillId="0" borderId="52" xfId="0" applyFont="1" applyBorder="1"/>
    <xf numFmtId="0" fontId="29" fillId="0" borderId="55" xfId="0" applyFont="1" applyBorder="1"/>
    <xf numFmtId="0" fontId="29" fillId="0" borderId="59" xfId="0" applyFont="1" applyBorder="1"/>
    <xf numFmtId="0" fontId="29" fillId="0" borderId="58" xfId="0" applyFont="1" applyBorder="1"/>
    <xf numFmtId="166" fontId="29" fillId="0" borderId="0" xfId="3" applyNumberFormat="1" applyFont="1" applyFill="1" applyBorder="1"/>
    <xf numFmtId="9" fontId="29" fillId="0" borderId="0" xfId="3" applyNumberFormat="1" applyFont="1" applyBorder="1"/>
    <xf numFmtId="166" fontId="29" fillId="0" borderId="52" xfId="3" applyNumberFormat="1" applyFont="1" applyBorder="1"/>
    <xf numFmtId="166" fontId="29" fillId="0" borderId="55" xfId="3" applyNumberFormat="1" applyFont="1" applyBorder="1"/>
    <xf numFmtId="166" fontId="29" fillId="0" borderId="59" xfId="3" applyNumberFormat="1" applyFont="1" applyBorder="1"/>
    <xf numFmtId="166" fontId="29" fillId="0" borderId="58" xfId="3" applyNumberFormat="1" applyFont="1" applyBorder="1"/>
    <xf numFmtId="166" fontId="29" fillId="0" borderId="57" xfId="3" applyNumberFormat="1" applyFont="1" applyBorder="1"/>
    <xf numFmtId="9" fontId="29" fillId="0" borderId="0" xfId="0" applyNumberFormat="1" applyFont="1"/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1" fillId="0" borderId="38" xfId="0" applyFont="1" applyBorder="1" applyAlignment="1">
      <alignment horizontal="left"/>
    </xf>
    <xf numFmtId="0" fontId="32" fillId="0" borderId="38" xfId="0" applyFont="1" applyBorder="1" applyAlignment="1">
      <alignment horizontal="left"/>
    </xf>
    <xf numFmtId="0" fontId="32" fillId="0" borderId="10" xfId="0" applyFont="1" applyBorder="1" applyAlignment="1">
      <alignment horizontal="left"/>
    </xf>
    <xf numFmtId="0" fontId="31" fillId="0" borderId="38" xfId="0" applyFont="1" applyBorder="1" applyAlignment="1">
      <alignment horizontal="left" wrapText="1"/>
    </xf>
    <xf numFmtId="0" fontId="31" fillId="0" borderId="38" xfId="0" applyFont="1" applyBorder="1" applyAlignment="1">
      <alignment horizontal="left" vertical="top" wrapText="1"/>
    </xf>
    <xf numFmtId="10" fontId="27" fillId="0" borderId="0" xfId="0" applyNumberFormat="1" applyFont="1"/>
    <xf numFmtId="9" fontId="27" fillId="0" borderId="0" xfId="2" applyFont="1"/>
    <xf numFmtId="9" fontId="27" fillId="31" borderId="0" xfId="2" applyFont="1" applyFill="1"/>
    <xf numFmtId="10" fontId="27" fillId="31" borderId="0" xfId="0" applyNumberFormat="1" applyFont="1" applyFill="1"/>
    <xf numFmtId="0" fontId="37" fillId="31" borderId="0" xfId="0" applyFont="1" applyFill="1"/>
    <xf numFmtId="0" fontId="74" fillId="0" borderId="0" xfId="0" applyFont="1"/>
    <xf numFmtId="43" fontId="33" fillId="0" borderId="0" xfId="0" applyNumberFormat="1" applyFont="1"/>
    <xf numFmtId="0" fontId="75" fillId="0" borderId="0" xfId="0" applyFont="1"/>
    <xf numFmtId="43" fontId="39" fillId="0" borderId="0" xfId="0" applyNumberFormat="1" applyFont="1"/>
    <xf numFmtId="164" fontId="25" fillId="0" borderId="0" xfId="1" applyFont="1" applyFill="1" applyBorder="1"/>
    <xf numFmtId="164" fontId="25" fillId="0" borderId="2" xfId="1" applyFont="1" applyFill="1" applyBorder="1"/>
    <xf numFmtId="164" fontId="25" fillId="0" borderId="10" xfId="1" applyFont="1" applyFill="1" applyBorder="1"/>
    <xf numFmtId="164" fontId="25" fillId="0" borderId="12" xfId="1" applyFont="1" applyFill="1" applyBorder="1"/>
    <xf numFmtId="10" fontId="22" fillId="0" borderId="2" xfId="0" applyNumberFormat="1" applyFont="1" applyBorder="1"/>
    <xf numFmtId="0" fontId="22" fillId="0" borderId="4" xfId="0" applyFont="1" applyBorder="1"/>
    <xf numFmtId="0" fontId="22" fillId="26" borderId="0" xfId="0" applyFont="1" applyFill="1"/>
    <xf numFmtId="10" fontId="62" fillId="0" borderId="0" xfId="2" applyNumberFormat="1" applyFont="1" applyAlignment="1">
      <alignment vertical="top"/>
    </xf>
    <xf numFmtId="173" fontId="25" fillId="0" borderId="4" xfId="0" applyNumberFormat="1" applyFont="1" applyBorder="1"/>
    <xf numFmtId="165" fontId="22" fillId="0" borderId="0" xfId="0" applyNumberFormat="1" applyFont="1" applyAlignment="1">
      <alignment vertical="top"/>
    </xf>
    <xf numFmtId="0" fontId="25" fillId="0" borderId="13" xfId="0" applyFont="1" applyBorder="1" applyAlignment="1">
      <alignment vertical="top"/>
    </xf>
    <xf numFmtId="166" fontId="25" fillId="0" borderId="29" xfId="3" applyNumberFormat="1" applyFont="1" applyFill="1" applyBorder="1" applyAlignment="1">
      <alignment vertical="top"/>
    </xf>
    <xf numFmtId="166" fontId="25" fillId="0" borderId="13" xfId="3" applyNumberFormat="1" applyFont="1" applyFill="1" applyBorder="1"/>
    <xf numFmtId="166" fontId="25" fillId="0" borderId="65" xfId="3" applyNumberFormat="1" applyFont="1" applyFill="1" applyBorder="1" applyAlignment="1">
      <alignment vertical="top"/>
    </xf>
    <xf numFmtId="166" fontId="25" fillId="15" borderId="33" xfId="3" applyNumberFormat="1" applyFont="1" applyFill="1" applyBorder="1" applyAlignment="1">
      <alignment vertical="top"/>
    </xf>
    <xf numFmtId="166" fontId="25" fillId="0" borderId="13" xfId="3" applyNumberFormat="1" applyFont="1" applyFill="1" applyBorder="1" applyAlignment="1">
      <alignment vertical="top"/>
    </xf>
    <xf numFmtId="166" fontId="25" fillId="0" borderId="4" xfId="3" applyNumberFormat="1" applyFont="1" applyFill="1" applyBorder="1" applyAlignment="1">
      <alignment vertical="top"/>
    </xf>
    <xf numFmtId="166" fontId="25" fillId="15" borderId="8" xfId="0" applyNumberFormat="1" applyFont="1" applyFill="1" applyBorder="1"/>
    <xf numFmtId="9" fontId="25" fillId="15" borderId="8" xfId="2" applyFont="1" applyFill="1" applyBorder="1"/>
    <xf numFmtId="167" fontId="25" fillId="15" borderId="10" xfId="2" applyNumberFormat="1" applyFont="1" applyFill="1" applyBorder="1"/>
    <xf numFmtId="9" fontId="25" fillId="15" borderId="28" xfId="0" applyNumberFormat="1" applyFont="1" applyFill="1" applyBorder="1"/>
    <xf numFmtId="9" fontId="25" fillId="15" borderId="28" xfId="0" applyNumberFormat="1" applyFont="1" applyFill="1" applyBorder="1" applyAlignment="1">
      <alignment vertical="top"/>
    </xf>
    <xf numFmtId="167" fontId="12" fillId="0" borderId="0" xfId="2" applyNumberFormat="1" applyFont="1"/>
    <xf numFmtId="164" fontId="25" fillId="0" borderId="38" xfId="1" applyFont="1" applyBorder="1" applyAlignment="1">
      <alignment wrapText="1"/>
    </xf>
    <xf numFmtId="0" fontId="22" fillId="19" borderId="35" xfId="0" applyFont="1" applyFill="1" applyBorder="1" applyAlignment="1">
      <alignment wrapText="1"/>
    </xf>
    <xf numFmtId="0" fontId="22" fillId="0" borderId="35" xfId="0" applyFont="1" applyBorder="1" applyAlignment="1">
      <alignment horizontal="right"/>
    </xf>
    <xf numFmtId="166" fontId="0" fillId="0" borderId="0" xfId="0" applyNumberFormat="1"/>
    <xf numFmtId="1" fontId="25" fillId="0" borderId="0" xfId="0" applyNumberFormat="1" applyFont="1"/>
    <xf numFmtId="2" fontId="29" fillId="0" borderId="0" xfId="2" applyNumberFormat="1" applyFont="1"/>
    <xf numFmtId="2" fontId="29" fillId="0" borderId="0" xfId="0" applyNumberFormat="1" applyFont="1"/>
    <xf numFmtId="43" fontId="29" fillId="0" borderId="0" xfId="3" applyFont="1"/>
    <xf numFmtId="2" fontId="13" fillId="0" borderId="0" xfId="0" applyNumberFormat="1" applyFont="1"/>
    <xf numFmtId="0" fontId="22" fillId="0" borderId="13" xfId="0" applyFont="1" applyBorder="1"/>
    <xf numFmtId="164" fontId="25" fillId="0" borderId="13" xfId="1" applyFont="1" applyBorder="1"/>
    <xf numFmtId="43" fontId="9" fillId="27" borderId="0" xfId="0" applyNumberFormat="1" applyFont="1" applyFill="1"/>
    <xf numFmtId="164" fontId="25" fillId="0" borderId="8" xfId="0" applyNumberFormat="1" applyFont="1" applyBorder="1"/>
    <xf numFmtId="164" fontId="46" fillId="0" borderId="0" xfId="1" applyFont="1" applyAlignment="1">
      <alignment horizontal="right" wrapText="1"/>
    </xf>
    <xf numFmtId="166" fontId="25" fillId="12" borderId="0" xfId="3" applyNumberFormat="1" applyFont="1" applyFill="1" applyBorder="1" applyAlignment="1">
      <alignment vertical="top"/>
    </xf>
    <xf numFmtId="0" fontId="77" fillId="0" borderId="0" xfId="0" applyFont="1"/>
    <xf numFmtId="9" fontId="12" fillId="0" borderId="4" xfId="2" applyFont="1" applyFill="1" applyBorder="1"/>
    <xf numFmtId="0" fontId="3" fillId="0" borderId="63" xfId="0" applyFont="1" applyBorder="1"/>
    <xf numFmtId="0" fontId="0" fillId="0" borderId="63" xfId="0" applyBorder="1"/>
    <xf numFmtId="0" fontId="2" fillId="0" borderId="2" xfId="0" applyFont="1" applyBorder="1"/>
    <xf numFmtId="0" fontId="3" fillId="8" borderId="33" xfId="0" applyFont="1" applyFill="1" applyBorder="1"/>
    <xf numFmtId="0" fontId="78" fillId="32" borderId="0" xfId="0" applyFont="1" applyFill="1"/>
    <xf numFmtId="0" fontId="66" fillId="28" borderId="59" xfId="0" applyFont="1" applyFill="1" applyBorder="1" applyAlignment="1">
      <alignment horizontal="center" vertical="center"/>
    </xf>
    <xf numFmtId="0" fontId="66" fillId="28" borderId="58" xfId="0" applyFont="1" applyFill="1" applyBorder="1" applyAlignment="1">
      <alignment horizontal="center" vertical="center"/>
    </xf>
    <xf numFmtId="0" fontId="66" fillId="28" borderId="60" xfId="0" applyFont="1" applyFill="1" applyBorder="1" applyAlignment="1">
      <alignment horizontal="center" vertical="center"/>
    </xf>
    <xf numFmtId="0" fontId="65" fillId="0" borderId="0" xfId="0" applyFont="1"/>
    <xf numFmtId="0" fontId="65" fillId="0" borderId="58" xfId="0" applyFont="1" applyBorder="1"/>
    <xf numFmtId="0" fontId="9" fillId="7" borderId="0" xfId="0" applyFont="1" applyFill="1" applyAlignment="1">
      <alignment horizontal="center" vertical="top"/>
    </xf>
    <xf numFmtId="0" fontId="7" fillId="4" borderId="9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10" xfId="0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vertical="top"/>
    </xf>
    <xf numFmtId="165" fontId="25" fillId="0" borderId="2" xfId="1" applyNumberFormat="1" applyFont="1" applyFill="1" applyBorder="1" applyAlignment="1">
      <alignment vertical="top"/>
    </xf>
    <xf numFmtId="165" fontId="25" fillId="0" borderId="3" xfId="1" applyNumberFormat="1" applyFont="1" applyFill="1" applyBorder="1" applyAlignment="1">
      <alignment vertical="top"/>
    </xf>
    <xf numFmtId="165" fontId="25" fillId="16" borderId="3" xfId="1" applyNumberFormat="1" applyFont="1" applyFill="1" applyBorder="1" applyAlignment="1">
      <alignment vertical="top"/>
    </xf>
    <xf numFmtId="165" fontId="25" fillId="16" borderId="0" xfId="1" applyNumberFormat="1" applyFont="1" applyFill="1" applyBorder="1" applyAlignment="1">
      <alignment vertical="top"/>
    </xf>
    <xf numFmtId="165" fontId="25" fillId="16" borderId="2" xfId="1" applyNumberFormat="1" applyFont="1" applyFill="1" applyBorder="1" applyAlignment="1">
      <alignment vertical="top"/>
    </xf>
    <xf numFmtId="165" fontId="25" fillId="0" borderId="0" xfId="1" applyNumberFormat="1" applyFont="1" applyFill="1" applyAlignment="1">
      <alignment vertical="top"/>
    </xf>
    <xf numFmtId="165" fontId="25" fillId="0" borderId="44" xfId="1" applyNumberFormat="1" applyFont="1" applyBorder="1" applyAlignment="1">
      <alignment horizontal="center" vertical="top"/>
    </xf>
    <xf numFmtId="165" fontId="25" fillId="0" borderId="38" xfId="1" applyNumberFormat="1" applyFont="1" applyBorder="1" applyAlignment="1">
      <alignment horizontal="center" vertical="top"/>
    </xf>
    <xf numFmtId="165" fontId="25" fillId="0" borderId="39" xfId="1" applyNumberFormat="1" applyFont="1" applyBorder="1" applyAlignment="1">
      <alignment horizontal="center" vertical="top"/>
    </xf>
    <xf numFmtId="165" fontId="25" fillId="0" borderId="44" xfId="1" applyNumberFormat="1" applyFont="1" applyFill="1" applyBorder="1" applyAlignment="1">
      <alignment vertical="top"/>
    </xf>
    <xf numFmtId="165" fontId="25" fillId="0" borderId="38" xfId="1" applyNumberFormat="1" applyFont="1" applyFill="1" applyBorder="1" applyAlignment="1">
      <alignment vertical="top"/>
    </xf>
    <xf numFmtId="165" fontId="25" fillId="0" borderId="39" xfId="1" applyNumberFormat="1" applyFont="1" applyFill="1" applyBorder="1" applyAlignment="1">
      <alignment vertical="top"/>
    </xf>
    <xf numFmtId="165" fontId="25" fillId="0" borderId="44" xfId="1" applyNumberFormat="1" applyFont="1" applyFill="1" applyBorder="1" applyAlignment="1">
      <alignment horizontal="center" vertical="top"/>
    </xf>
    <xf numFmtId="165" fontId="25" fillId="0" borderId="38" xfId="1" applyNumberFormat="1" applyFont="1" applyFill="1" applyBorder="1" applyAlignment="1">
      <alignment horizontal="center" vertical="top"/>
    </xf>
    <xf numFmtId="165" fontId="25" fillId="0" borderId="39" xfId="1" applyNumberFormat="1" applyFont="1" applyFill="1" applyBorder="1" applyAlignment="1">
      <alignment horizontal="center" vertical="top"/>
    </xf>
    <xf numFmtId="166" fontId="25" fillId="0" borderId="44" xfId="0" applyNumberFormat="1" applyFont="1" applyBorder="1" applyAlignment="1">
      <alignment vertical="top"/>
    </xf>
    <xf numFmtId="0" fontId="25" fillId="0" borderId="38" xfId="0" applyFont="1" applyBorder="1" applyAlignment="1">
      <alignment vertical="top"/>
    </xf>
    <xf numFmtId="0" fontId="25" fillId="0" borderId="39" xfId="0" applyFont="1" applyBorder="1" applyAlignment="1">
      <alignment vertical="top"/>
    </xf>
    <xf numFmtId="0" fontId="25" fillId="0" borderId="0" xfId="0" applyFont="1" applyAlignment="1">
      <alignment vertical="top" wrapText="1"/>
    </xf>
    <xf numFmtId="0" fontId="22" fillId="0" borderId="1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33" fillId="0" borderId="0" xfId="0" applyFont="1" applyAlignment="1">
      <alignment wrapText="1"/>
    </xf>
    <xf numFmtId="0" fontId="14" fillId="4" borderId="29" xfId="0" applyFont="1" applyFill="1" applyBorder="1" applyAlignment="1">
      <alignment horizontal="center"/>
    </xf>
    <xf numFmtId="0" fontId="14" fillId="4" borderId="31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32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25" fillId="0" borderId="35" xfId="0" applyFont="1" applyBorder="1" applyAlignment="1">
      <alignment vertical="top" wrapText="1"/>
    </xf>
    <xf numFmtId="0" fontId="25" fillId="0" borderId="36" xfId="0" applyFont="1" applyBorder="1"/>
    <xf numFmtId="0" fontId="25" fillId="0" borderId="33" xfId="0" applyFont="1" applyBorder="1"/>
    <xf numFmtId="0" fontId="25" fillId="0" borderId="36" xfId="0" applyFont="1" applyBorder="1" applyAlignment="1">
      <alignment vertical="top" wrapText="1"/>
    </xf>
    <xf numFmtId="0" fontId="25" fillId="0" borderId="33" xfId="0" applyFont="1" applyBorder="1" applyAlignment="1">
      <alignment vertical="top" wrapText="1"/>
    </xf>
    <xf numFmtId="0" fontId="22" fillId="12" borderId="9" xfId="0" applyFont="1" applyFill="1" applyBorder="1" applyAlignment="1">
      <alignment horizontal="center"/>
    </xf>
    <xf numFmtId="0" fontId="22" fillId="12" borderId="0" xfId="0" applyFont="1" applyFill="1" applyAlignment="1">
      <alignment horizontal="center"/>
    </xf>
    <xf numFmtId="0" fontId="22" fillId="12" borderId="10" xfId="0" applyFont="1" applyFill="1" applyBorder="1" applyAlignment="1">
      <alignment horizontal="center"/>
    </xf>
    <xf numFmtId="0" fontId="22" fillId="13" borderId="9" xfId="0" applyFont="1" applyFill="1" applyBorder="1" applyAlignment="1">
      <alignment horizontal="center"/>
    </xf>
    <xf numFmtId="0" fontId="22" fillId="13" borderId="0" xfId="0" applyFont="1" applyFill="1" applyAlignment="1">
      <alignment horizontal="center"/>
    </xf>
    <xf numFmtId="0" fontId="22" fillId="13" borderId="10" xfId="0" applyFont="1" applyFill="1" applyBorder="1" applyAlignment="1">
      <alignment horizontal="center"/>
    </xf>
    <xf numFmtId="0" fontId="14" fillId="4" borderId="64" xfId="0" applyFont="1" applyFill="1" applyBorder="1" applyAlignment="1">
      <alignment horizontal="center"/>
    </xf>
    <xf numFmtId="0" fontId="14" fillId="4" borderId="63" xfId="0" applyFont="1" applyFill="1" applyBorder="1" applyAlignment="1">
      <alignment horizontal="center"/>
    </xf>
    <xf numFmtId="0" fontId="14" fillId="4" borderId="62" xfId="0" applyFont="1" applyFill="1" applyBorder="1" applyAlignment="1">
      <alignment horizontal="center"/>
    </xf>
  </cellXfs>
  <cellStyles count="13">
    <cellStyle name="Comma" xfId="1" builtinId="3"/>
    <cellStyle name="Comma 13" xfId="8" xr:uid="{01515BA1-ABCC-4AF5-A029-907A6614F094}"/>
    <cellStyle name="Comma 13 33" xfId="12" xr:uid="{DFD1D6A8-7ADB-4EA8-8A6F-66D0ED58A835}"/>
    <cellStyle name="Comma 2" xfId="3" xr:uid="{07E1D136-94A1-4EA1-9506-68C9B66DEDFB}"/>
    <cellStyle name="Comma 2 2" xfId="10" xr:uid="{D26E26CC-8A49-467F-BB50-434036B4BB05}"/>
    <cellStyle name="Comma 2 2 10" xfId="7" xr:uid="{BF2D2707-3F21-4CC2-80DB-7ED51BD4F249}"/>
    <cellStyle name="Comma 3" xfId="11" xr:uid="{8450D5E6-B517-476D-AE87-706AB2320EC5}"/>
    <cellStyle name="Comma 4" xfId="9" xr:uid="{EFCB35CD-98E9-44A2-BC73-E65178C22AC6}"/>
    <cellStyle name="Comma 6" xfId="4" xr:uid="{2F1A7606-7DCD-41A9-A98D-A52B38538D92}"/>
    <cellStyle name="Normal" xfId="0" builtinId="0"/>
    <cellStyle name="Normal 10 2" xfId="5" xr:uid="{0FCC0505-B5D7-4A9A-8116-939169133E2C}"/>
    <cellStyle name="Normal 3 2" xfId="6" xr:uid="{B4E9F754-5B1C-43EA-888D-D813DE61E933}"/>
    <cellStyle name="Percent" xfId="2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'EBO &amp; Distributor temp'!$B$46</c:f>
              <c:strCache>
                <c:ptCount val="1"/>
                <c:pt idx="0">
                  <c:v>Average Annual Revenue per EBO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'EBO &amp; Distributor temp'!$D$41:$J$41</c:f>
              <c:numCache>
                <c:formatCode>General</c:formatCod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numCache>
            </c:numRef>
          </c:cat>
          <c:val>
            <c:numRef>
              <c:f>'EBO &amp; Distributor temp'!$D$46:$J$46</c:f>
              <c:numCache>
                <c:formatCode>_(* #,##0.00_);_(* \(#,##0.00\);_(* "-"??_);_(@_)</c:formatCode>
                <c:ptCount val="7"/>
                <c:pt idx="0">
                  <c:v>0.23536217018064509</c:v>
                </c:pt>
                <c:pt idx="1">
                  <c:v>0.27625015070091741</c:v>
                </c:pt>
                <c:pt idx="2">
                  <c:v>0.75707641537464776</c:v>
                </c:pt>
                <c:pt idx="3">
                  <c:v>1.4179691910550771</c:v>
                </c:pt>
                <c:pt idx="4">
                  <c:v>1.9072864617598355</c:v>
                </c:pt>
                <c:pt idx="5">
                  <c:v>2.6002849332051841</c:v>
                </c:pt>
                <c:pt idx="6">
                  <c:v>3.4457540046109436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4-443F-A482-7E215040D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865872"/>
        <c:axId val="2101862512"/>
      </c:barChart>
      <c:catAx>
        <c:axId val="21018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2512"/>
        <c:crosses val="autoZero"/>
        <c:auto val="1"/>
        <c:lblAlgn val="ctr"/>
        <c:lblOffset val="100"/>
        <c:noMultiLvlLbl val="0"/>
      </c:catAx>
      <c:valAx>
        <c:axId val="21018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'EBO &amp; Distributor temp'!$B$49</c:f>
              <c:strCache>
                <c:ptCount val="1"/>
                <c:pt idx="0">
                  <c:v>Average Annual Revenue per Non-EBO Distributor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'EBO &amp; Distributor temp'!$D$41:$J$41</c:f>
              <c:numCache>
                <c:formatCode>General</c:formatCod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numCache>
            </c:numRef>
          </c:cat>
          <c:val>
            <c:numRef>
              <c:f>'EBO &amp; Distributor temp'!$D$49:$J$49</c:f>
              <c:numCache>
                <c:formatCode>_(* #,##0.00_);_(* \(#,##0.00\);_(* "-"??_);_(@_)</c:formatCode>
                <c:ptCount val="7"/>
                <c:pt idx="0">
                  <c:v>6.5203103445933839E-3</c:v>
                </c:pt>
                <c:pt idx="1">
                  <c:v>7.642453407715734E-3</c:v>
                </c:pt>
                <c:pt idx="2">
                  <c:v>2.1162372240787392E-2</c:v>
                </c:pt>
                <c:pt idx="3">
                  <c:v>3.9585396171186817E-2</c:v>
                </c:pt>
                <c:pt idx="4">
                  <c:v>5.3049119219409864E-2</c:v>
                </c:pt>
                <c:pt idx="5">
                  <c:v>7.2272851484709424E-2</c:v>
                </c:pt>
                <c:pt idx="6">
                  <c:v>9.5869768676675446E-2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4C75-9E85-9359590B1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865872"/>
        <c:axId val="2101862512"/>
      </c:barChart>
      <c:catAx>
        <c:axId val="21018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2512"/>
        <c:crosses val="autoZero"/>
        <c:auto val="1"/>
        <c:lblAlgn val="ctr"/>
        <c:lblOffset val="100"/>
        <c:noMultiLvlLbl val="0"/>
      </c:catAx>
      <c:valAx>
        <c:axId val="21018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710405</xdr:colOff>
      <xdr:row>50</xdr:row>
      <xdr:rowOff>45244</xdr:rowOff>
    </xdr:from>
    <xdr:to>
      <xdr:col>9</xdr:col>
      <xdr:colOff>1055687</xdr:colOff>
      <xdr:row>65</xdr:row>
      <xdr:rowOff>50006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22B9E67D-6EB2-9BC1-CB95-5E0FA3DD8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674687</xdr:colOff>
      <xdr:row>66</xdr:row>
      <xdr:rowOff>71437</xdr:rowOff>
    </xdr:from>
    <xdr:to>
      <xdr:col>9</xdr:col>
      <xdr:colOff>1019969</xdr:colOff>
      <xdr:row>81</xdr:row>
      <xdr:rowOff>76199</xdr:rowOff>
    </xdr:to>
    <xdr:graphicFrame macro="">
      <xdr:nvGraphicFramePr>
        <xdr:cNvPr id="26" name="Chart 5">
          <a:extLst>
            <a:ext uri="{FF2B5EF4-FFF2-40B4-BE49-F238E27FC236}">
              <a16:creationId xmlns:a16="http://schemas.microsoft.com/office/drawing/2014/main" id="{E638CBD0-14F8-419F-BACE-F61F255B3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sndhawan-my.sharepoint.com/personal/aman_khan_mazars_co_in1/Documents/Desktop/Aman%20Khan/04-Business%20Development/01-Shriram%20Veritech/Valuation/05-Working/11-DCF-P/AAAPL_Valuation%20working_29.8.2022.xlsx" TargetMode="External"/><Relationship Id="rId2" Type="http://schemas.microsoft.com/office/2019/04/relationships/externalLinkLongPath" Target="https://sndhawan-my.sharepoint.com/personal/rohit_g_mazars_co_in/Documents/Desktop/Mazars%20work/Completed%20assignements/Shriram%20veritech/Deliverables/final%20models/Desktop/Aman%20Khan/04-Business%20Development/01-Shriram%20Veritech/Valuation/05-Working/Financial%20Model/00-Financial%20Model/Aman%20Khan/04-Business%20Development/01-Shriram%20Veritech/Valuation/05-Working/11-DCF-P/AAAPL_Valuation%20working_29.8.2022.xlsx?11CD408F" TargetMode="External"/><Relationship Id="rId1" Type="http://schemas.openxmlformats.org/officeDocument/2006/relationships/externalLinkPath" Target="file:///\\11CD408F\AAAPL_Valuation%20working_29.8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ndhawan-my.sharepoint.com/personal/deeksha_shrivastava_mazars_co_in/Documents/Deeksha/2.%20Assignments/3.%20Structuring/Manohar%20Filaments/Mazars%20Working/4.2%20India%20valuation/Worksheet%20in%20(C)%202240.02%20Related%20Party%20Mumbai-30.06.2007?050830C2" TargetMode="External"/><Relationship Id="rId1" Type="http://schemas.openxmlformats.org/officeDocument/2006/relationships/externalLinkPath" Target="file:///\\050830C2\Worksheet%20in%20(C)%202240.02%20Related%20Party%20Mumbai-30.06.2007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ndhawan-my.sharepoint.com/Users/sumitsingh/Downloads/3.%20Financial%20Model%20Templates%20Client%20-%20Loom%20-%20X11.xlsx" TargetMode="External"/><Relationship Id="rId1" Type="http://schemas.openxmlformats.org/officeDocument/2006/relationships/externalLinkPath" Target="https://sndhawan-my.sharepoint.com/Users/sumitsingh/Downloads/3.%20Financial%20Model%20Templates%20Client%20-%20Loom%20-%20X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Assumptions"/>
      <sheetName val="BEP"/>
      <sheetName val="Queries"/>
      <sheetName val="Operating Margins"/>
      <sheetName val="Executive Summary-Projections"/>
      <sheetName val="Executive Summary-Historical"/>
      <sheetName val="Transaction Multiple"/>
      <sheetName val="Trading Multiples"/>
      <sheetName val="DCF Valuation"/>
      <sheetName val="P&amp;L"/>
      <sheetName val="BS"/>
      <sheetName val="CFS"/>
      <sheetName val="CF"/>
      <sheetName val="FA &amp; Depr"/>
      <sheetName val="IT Depr"/>
      <sheetName val="Sales Buildup"/>
      <sheetName val="Direct Cost"/>
      <sheetName val="Employee Cost"/>
      <sheetName val="Indirect Exp"/>
      <sheetName val="CSR Working"/>
      <sheetName val="WC Int"/>
      <sheetName val="Term Loan"/>
      <sheetName val="IT Computation"/>
      <sheetName val="Adm"/>
      <sheetName val="Calculation of WACC"/>
      <sheetName val="WACC"/>
      <sheetName val="Beta"/>
      <sheetName val="Market Return"/>
      <sheetName val="Regression Analysis"/>
      <sheetName val="Lease assets"/>
      <sheetName val="Tally"/>
      <sheetName val="Exp Sup"/>
      <sheetName val="Historical Snapshot"/>
      <sheetName val="Ratio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P list"/>
      <sheetName val="Mumbai"/>
      <sheetName val="Ahmedabad"/>
      <sheetName val="indore"/>
      <sheetName val="Form - 3(A)"/>
      <sheetName val="Form - 3(B)"/>
      <sheetName val="Form - 4"/>
      <sheetName val="Form - 5"/>
      <sheetName val="Form - 6"/>
      <sheetName val="Annexure"/>
      <sheetName val="XREF"/>
      <sheetName val="Consol TB 31.03.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cussion Points "/>
      <sheetName val="P&amp;L"/>
      <sheetName val="Balance Sheet"/>
      <sheetName val="Cash Flow Statement"/>
      <sheetName val="Financial Analysis"/>
      <sheetName val="Assum"/>
      <sheetName val="MarketingExps"/>
      <sheetName val="EBO Cost"/>
      <sheetName val="Revenue "/>
      <sheetName val="HR"/>
      <sheetName val="Warehouse Cost"/>
      <sheetName val="Regional Office Cost"/>
      <sheetName val="Capex"/>
      <sheetName val="WC Schedule"/>
      <sheetName val="Tax Calculation"/>
      <sheetName val="Tax Dep "/>
      <sheetName val="template - 26 June"/>
    </sheetNames>
    <sheetDataSet>
      <sheetData sheetId="0"/>
      <sheetData sheetId="1">
        <row r="15">
          <cell r="C15">
            <v>1.5554730000000001</v>
          </cell>
        </row>
      </sheetData>
      <sheetData sheetId="2"/>
      <sheetData sheetId="3"/>
      <sheetData sheetId="4"/>
      <sheetData sheetId="5">
        <row r="4">
          <cell r="C4">
            <v>142</v>
          </cell>
          <cell r="D4">
            <v>156</v>
          </cell>
          <cell r="E4">
            <v>171</v>
          </cell>
          <cell r="F4">
            <v>188</v>
          </cell>
          <cell r="G4">
            <v>207</v>
          </cell>
        </row>
        <row r="9">
          <cell r="C9" t="str">
            <v xml:space="preserve">North </v>
          </cell>
          <cell r="D9" t="str">
            <v xml:space="preserve">West </v>
          </cell>
          <cell r="E9" t="str">
            <v>South</v>
          </cell>
          <cell r="F9" t="str">
            <v xml:space="preserve">East </v>
          </cell>
          <cell r="G9" t="str">
            <v>OTH</v>
          </cell>
        </row>
        <row r="10">
          <cell r="C10">
            <v>0.5</v>
          </cell>
          <cell r="D10">
            <v>0.2</v>
          </cell>
          <cell r="E10">
            <v>0.2</v>
          </cell>
          <cell r="F10">
            <v>0.1</v>
          </cell>
        </row>
        <row r="11">
          <cell r="B11" t="str">
            <v>Uttar Pradesh</v>
          </cell>
          <cell r="C11">
            <v>1</v>
          </cell>
        </row>
        <row r="12">
          <cell r="B12" t="str">
            <v>Delhi</v>
          </cell>
          <cell r="C12">
            <v>0</v>
          </cell>
        </row>
        <row r="13">
          <cell r="B13" t="str">
            <v xml:space="preserve">N. Others </v>
          </cell>
          <cell r="C13">
            <v>0</v>
          </cell>
        </row>
        <row r="14">
          <cell r="B14" t="str">
            <v xml:space="preserve">Maharashtra </v>
          </cell>
          <cell r="D14">
            <v>0.6</v>
          </cell>
        </row>
        <row r="15">
          <cell r="B15" t="str">
            <v xml:space="preserve">Madhya Pradesh </v>
          </cell>
          <cell r="D15">
            <v>0.2</v>
          </cell>
        </row>
        <row r="16">
          <cell r="B16" t="str">
            <v>W. Others(Rajasthan)</v>
          </cell>
          <cell r="D16">
            <v>0.2</v>
          </cell>
        </row>
        <row r="17">
          <cell r="B17" t="str">
            <v xml:space="preserve">Tamil Nadu </v>
          </cell>
          <cell r="E17">
            <v>0.6</v>
          </cell>
        </row>
        <row r="18">
          <cell r="B18" t="str">
            <v xml:space="preserve">Kerala </v>
          </cell>
          <cell r="E18">
            <v>0.2</v>
          </cell>
        </row>
        <row r="19">
          <cell r="B19" t="str">
            <v>S. Others (Telangana &amp; Karnataka)</v>
          </cell>
          <cell r="E19">
            <v>0.2</v>
          </cell>
        </row>
        <row r="20">
          <cell r="B20" t="str">
            <v xml:space="preserve">West Bengal </v>
          </cell>
          <cell r="F20">
            <v>0.4</v>
          </cell>
        </row>
        <row r="21">
          <cell r="B21" t="str">
            <v>Bihar</v>
          </cell>
          <cell r="F21">
            <v>0.4</v>
          </cell>
        </row>
        <row r="22">
          <cell r="B22" t="str">
            <v>E. Others (Odissa)</v>
          </cell>
          <cell r="F22">
            <v>0.2</v>
          </cell>
        </row>
        <row r="27">
          <cell r="C27">
            <v>0.2</v>
          </cell>
          <cell r="D27">
            <v>0.2</v>
          </cell>
          <cell r="E27">
            <v>0.2</v>
          </cell>
        </row>
        <row r="28">
          <cell r="C28">
            <v>2.4999999999999994E-2</v>
          </cell>
          <cell r="D28">
            <v>2.4999999999999994E-2</v>
          </cell>
          <cell r="E28">
            <v>2.4999999999999994E-2</v>
          </cell>
        </row>
        <row r="32">
          <cell r="D32">
            <v>1553</v>
          </cell>
          <cell r="E32">
            <v>1708</v>
          </cell>
          <cell r="F32">
            <v>1879</v>
          </cell>
          <cell r="G32">
            <v>2067</v>
          </cell>
        </row>
        <row r="37">
          <cell r="C37">
            <v>0.17499999999999999</v>
          </cell>
          <cell r="D37">
            <v>0.17499999999999999</v>
          </cell>
          <cell r="E37">
            <v>0.17499999999999999</v>
          </cell>
          <cell r="F37">
            <v>0.17499999999999999</v>
          </cell>
        </row>
        <row r="38">
          <cell r="C38">
            <v>3.7500000000000006E-2</v>
          </cell>
          <cell r="D38">
            <v>3.7500000000000006E-2</v>
          </cell>
          <cell r="E38">
            <v>3.7500000000000006E-2</v>
          </cell>
          <cell r="F38">
            <v>3.7500000000000006E-2</v>
          </cell>
        </row>
        <row r="42">
          <cell r="C42">
            <v>0.3</v>
          </cell>
          <cell r="D42">
            <v>0.3</v>
          </cell>
          <cell r="E42">
            <v>0.25</v>
          </cell>
          <cell r="F42">
            <v>0.25</v>
          </cell>
        </row>
        <row r="43">
          <cell r="C43">
            <v>0.3</v>
          </cell>
          <cell r="D43">
            <v>0.3</v>
          </cell>
          <cell r="E43">
            <v>0.25</v>
          </cell>
          <cell r="F43">
            <v>0.25</v>
          </cell>
        </row>
        <row r="44">
          <cell r="C44">
            <v>0.4</v>
          </cell>
          <cell r="D44">
            <v>0.4</v>
          </cell>
          <cell r="E44">
            <v>0.4</v>
          </cell>
          <cell r="F44">
            <v>0.4</v>
          </cell>
        </row>
        <row r="45">
          <cell r="C45">
            <v>0.3</v>
          </cell>
          <cell r="D45">
            <v>0.3</v>
          </cell>
          <cell r="E45">
            <v>0.25</v>
          </cell>
          <cell r="F45">
            <v>0.25</v>
          </cell>
        </row>
        <row r="46">
          <cell r="C46">
            <v>0.3</v>
          </cell>
          <cell r="D46">
            <v>0.3</v>
          </cell>
          <cell r="E46">
            <v>0.25</v>
          </cell>
          <cell r="F46">
            <v>0.25</v>
          </cell>
        </row>
        <row r="47">
          <cell r="C47">
            <v>0.4</v>
          </cell>
          <cell r="D47">
            <v>0.4</v>
          </cell>
          <cell r="E47">
            <v>0.4</v>
          </cell>
          <cell r="F47">
            <v>0.4</v>
          </cell>
        </row>
        <row r="48">
          <cell r="C48">
            <v>0.3</v>
          </cell>
          <cell r="D48">
            <v>0.3</v>
          </cell>
          <cell r="E48">
            <v>0.25</v>
          </cell>
          <cell r="F48">
            <v>0.25</v>
          </cell>
        </row>
        <row r="49">
          <cell r="C49">
            <v>0.3</v>
          </cell>
          <cell r="D49">
            <v>0.3</v>
          </cell>
          <cell r="E49">
            <v>0.25</v>
          </cell>
          <cell r="F49">
            <v>0.25</v>
          </cell>
        </row>
        <row r="50">
          <cell r="C50">
            <v>0.4</v>
          </cell>
          <cell r="D50">
            <v>0.4</v>
          </cell>
          <cell r="E50">
            <v>0.4</v>
          </cell>
          <cell r="F50">
            <v>0.4</v>
          </cell>
        </row>
        <row r="51">
          <cell r="C51">
            <v>0.2</v>
          </cell>
          <cell r="D51">
            <v>0.2</v>
          </cell>
          <cell r="E51">
            <v>0.2</v>
          </cell>
          <cell r="F51">
            <v>0.2</v>
          </cell>
        </row>
        <row r="52">
          <cell r="C52">
            <v>0.2</v>
          </cell>
          <cell r="D52">
            <v>0.2</v>
          </cell>
          <cell r="E52">
            <v>0.2</v>
          </cell>
          <cell r="F52">
            <v>0.2</v>
          </cell>
        </row>
        <row r="53">
          <cell r="C53">
            <v>0.4</v>
          </cell>
          <cell r="D53">
            <v>0.4</v>
          </cell>
          <cell r="E53">
            <v>0.4</v>
          </cell>
          <cell r="F53">
            <v>0.4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mit Singh" id="{E1535246-232B-C442-BB63-B4E7EC715341}" userId="b08f5e44b6b95ac8" providerId="Windows Live"/>
  <person displayName="Rhea Gupta" id="{C874FB94-6B9A-4430-B32C-72EA876B205C}" userId="S::rhea.gupta@mazars.co.in::55621262-bcd2-451e-9415-8efbda91733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06-14T08:28:45.91" personId="{C874FB94-6B9A-4430-B32C-72EA876B205C}" id="{9964274C-3697-4280-A114-C86CC40EBD8E}">
    <text>Includes promoter loan amounting to INR 9,97,780</text>
  </threadedComment>
  <threadedComment ref="E22" dT="2024-06-14T09:47:58.91" personId="{C874FB94-6B9A-4430-B32C-72EA876B205C}" id="{D1DAE493-B27C-4888-A224-E8B03A762200}">
    <text>Includes promoter loan of INR 18 Lacs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5" dT="2024-06-23T06:01:48.36" personId="{E1535246-232B-C442-BB63-B4E7EC715341}" id="{807BC194-45EE-A945-A673-CD9040BFE4FA}">
    <text>Already added cost in regional office cost</text>
  </threadedComment>
  <threadedComment ref="H25" dT="2024-06-23T06:01:48.36" personId="{E1535246-232B-C442-BB63-B4E7EC715341}" id="{ECB941E7-31B1-7E4B-8DBB-970AE9F6FE7F}">
    <text>Already added cost in regional office cost</text>
  </threadedComment>
  <threadedComment ref="I25" dT="2024-06-23T06:01:48.36" personId="{E1535246-232B-C442-BB63-B4E7EC715341}" id="{F282C4B9-E05F-4F46-8A1F-3AF58915E91A}">
    <text>Already added cost in regional office cost</text>
  </threadedComment>
  <threadedComment ref="G26" dT="2024-06-23T06:01:48.36" personId="{E1535246-232B-C442-BB63-B4E7EC715341}" id="{767F89E9-14A3-6142-A435-0AC8CA7E9994}">
    <text>Already added cost in regional office cost</text>
  </threadedComment>
  <threadedComment ref="H26" dT="2024-06-23T06:01:48.36" personId="{E1535246-232B-C442-BB63-B4E7EC715341}" id="{161D5BA5-39D6-894F-8CEE-4D72A5872A82}">
    <text>Already added cost in regional office cost</text>
  </threadedComment>
  <threadedComment ref="I26" dT="2024-06-23T06:01:48.36" personId="{E1535246-232B-C442-BB63-B4E7EC715341}" id="{7A7D6187-8AE8-DE4F-9B8C-45A653FD8A49}">
    <text>Already added cost in regional office cost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5" dT="2024-06-23T06:01:48.36" personId="{E1535246-232B-C442-BB63-B4E7EC715341}" id="{42758F20-E3EF-4255-B96A-547263584434}">
    <text>Already added cost in regional office cost</text>
  </threadedComment>
  <threadedComment ref="H25" dT="2024-06-23T06:01:48.36" personId="{E1535246-232B-C442-BB63-B4E7EC715341}" id="{C921ECD6-30C4-416F-8E15-8DAF88E2A3B1}">
    <text>Already added cost in regional office cost</text>
  </threadedComment>
  <threadedComment ref="I25" dT="2024-06-23T06:01:48.36" personId="{E1535246-232B-C442-BB63-B4E7EC715341}" id="{802ECE31-AC22-4F46-B455-FFC0033EB583}">
    <text>Already added cost in regional office cost</text>
  </threadedComment>
  <threadedComment ref="G26" dT="2024-06-23T06:01:48.36" personId="{E1535246-232B-C442-BB63-B4E7EC715341}" id="{9A50F383-A900-4140-AD7F-BE3140FD7FEC}">
    <text>Already added cost in regional office cost</text>
  </threadedComment>
  <threadedComment ref="H26" dT="2024-06-23T06:01:48.36" personId="{E1535246-232B-C442-BB63-B4E7EC715341}" id="{8EFA1EB9-D614-423C-A5B6-7592BBBA0D22}">
    <text>Already added cost in regional office cost</text>
  </threadedComment>
  <threadedComment ref="I26" dT="2024-06-23T06:01:48.36" personId="{E1535246-232B-C442-BB63-B4E7EC715341}" id="{8F61D54F-0D14-4AC6-A32D-7B8065E677CF}">
    <text>Already added cost in regional office cost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5" dT="2024-06-23T06:01:48.36" personId="{E1535246-232B-C442-BB63-B4E7EC715341}" id="{9464F1B1-2F5D-8440-95CB-8DD1763010C6}">
    <text>Already added cost in regional office cost</text>
  </threadedComment>
  <threadedComment ref="H25" dT="2024-06-23T06:01:48.36" personId="{E1535246-232B-C442-BB63-B4E7EC715341}" id="{92016FC1-9B6D-DB47-8B3E-E1773A6A6A11}">
    <text>Already added cost in regional office cost</text>
  </threadedComment>
  <threadedComment ref="I25" dT="2024-06-23T06:01:48.36" personId="{E1535246-232B-C442-BB63-B4E7EC715341}" id="{76134DDA-8C4A-4246-BBBA-AF975459FBC4}">
    <text>Already added cost in regional office cost</text>
  </threadedComment>
  <threadedComment ref="G26" dT="2024-06-23T06:01:48.36" personId="{E1535246-232B-C442-BB63-B4E7EC715341}" id="{77FDFC27-7E7B-1E46-8429-9BFC63B057C6}">
    <text>Already added cost in regional office cost</text>
  </threadedComment>
  <threadedComment ref="H26" dT="2024-06-23T06:01:48.36" personId="{E1535246-232B-C442-BB63-B4E7EC715341}" id="{EBF6862B-B386-5F40-9EEB-5C8023DD7EBE}">
    <text>Already added cost in regional office cost</text>
  </threadedComment>
  <threadedComment ref="I26" dT="2024-06-23T06:01:48.36" personId="{E1535246-232B-C442-BB63-B4E7EC715341}" id="{785B22A1-35BD-CB42-9C25-E0006C4CA39D}">
    <text>Already added cost in regional office cost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customProperty" Target="../customProperty14.bin"/><Relationship Id="rId4" Type="http://schemas.microsoft.com/office/2017/10/relationships/threadedComment" Target="../threadedComments/threadedComment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DEA1-4A64-4EF2-A128-7F0C7D090116}">
  <sheetPr>
    <pageSetUpPr fitToPage="1"/>
  </sheetPr>
  <dimension ref="A1:J62"/>
  <sheetViews>
    <sheetView showGridLines="0" zoomScale="70" zoomScaleNormal="70" workbookViewId="0">
      <pane xSplit="2" ySplit="3" topLeftCell="D38" activePane="bottomRight" state="frozen"/>
      <selection pane="topRight" activeCell="C1" sqref="C1"/>
      <selection pane="bottomLeft" activeCell="A2" sqref="A2"/>
      <selection pane="bottomRight" activeCell="B53" sqref="B53"/>
    </sheetView>
  </sheetViews>
  <sheetFormatPr defaultColWidth="8.81640625" defaultRowHeight="14.5"/>
  <cols>
    <col min="2" max="2" width="37.1796875" customWidth="1"/>
    <col min="3" max="3" width="17.1796875" hidden="1" customWidth="1"/>
    <col min="4" max="4" width="72.81640625" customWidth="1"/>
    <col min="5" max="5" width="61.1796875" customWidth="1"/>
  </cols>
  <sheetData>
    <row r="1" spans="1:5">
      <c r="B1" s="46" t="s">
        <v>0</v>
      </c>
    </row>
    <row r="3" spans="1:5" hidden="1">
      <c r="A3" s="706" t="s">
        <v>1</v>
      </c>
      <c r="B3" s="706" t="s">
        <v>2</v>
      </c>
      <c r="C3" s="706" t="s">
        <v>3</v>
      </c>
      <c r="D3" s="706" t="s">
        <v>4</v>
      </c>
      <c r="E3" s="706" t="s">
        <v>5</v>
      </c>
    </row>
    <row r="4" spans="1:5" ht="60" hidden="1" customHeight="1">
      <c r="A4" s="704">
        <v>1</v>
      </c>
      <c r="B4" s="699" t="s">
        <v>6</v>
      </c>
      <c r="C4" s="716">
        <f>'Revenue '!AD99</f>
        <v>3028934922.5573997</v>
      </c>
      <c r="D4" s="699" t="s">
        <v>7</v>
      </c>
      <c r="E4" s="699" t="s">
        <v>8</v>
      </c>
    </row>
    <row r="5" spans="1:5" ht="43.5" hidden="1">
      <c r="A5" s="704">
        <f t="shared" ref="A5:A21" si="0">A4+1</f>
        <v>2</v>
      </c>
      <c r="B5" s="699" t="s">
        <v>6</v>
      </c>
      <c r="C5" s="716">
        <f>'Revenue '!AD97</f>
        <v>196670000</v>
      </c>
      <c r="D5" s="699" t="s">
        <v>9</v>
      </c>
      <c r="E5" s="699" t="s">
        <v>10</v>
      </c>
    </row>
    <row r="6" spans="1:5" hidden="1">
      <c r="A6" s="704">
        <f t="shared" si="0"/>
        <v>3</v>
      </c>
      <c r="B6" s="699" t="s">
        <v>11</v>
      </c>
      <c r="C6" s="707">
        <f>HR!B50</f>
        <v>0.1</v>
      </c>
      <c r="D6" s="752" t="s">
        <v>12</v>
      </c>
      <c r="E6" s="699"/>
    </row>
    <row r="7" spans="1:5" ht="43.5" hidden="1">
      <c r="A7" s="704">
        <f t="shared" si="0"/>
        <v>4</v>
      </c>
      <c r="B7" s="699" t="s">
        <v>11</v>
      </c>
      <c r="C7" s="708" t="s">
        <v>13</v>
      </c>
      <c r="D7" s="698" t="s">
        <v>14</v>
      </c>
      <c r="E7" s="699" t="s">
        <v>15</v>
      </c>
    </row>
    <row r="8" spans="1:5" hidden="1">
      <c r="A8" s="704">
        <f t="shared" si="0"/>
        <v>5</v>
      </c>
      <c r="B8" s="699" t="s">
        <v>11</v>
      </c>
      <c r="C8" s="708" t="s">
        <v>13</v>
      </c>
      <c r="D8" s="698" t="s">
        <v>16</v>
      </c>
      <c r="E8" s="699" t="s">
        <v>17</v>
      </c>
    </row>
    <row r="9" spans="1:5" ht="58" hidden="1">
      <c r="A9" s="704">
        <f t="shared" si="0"/>
        <v>6</v>
      </c>
      <c r="B9" s="699" t="s">
        <v>11</v>
      </c>
      <c r="C9" s="719">
        <f>'HR_29th June'!Q57</f>
        <v>0</v>
      </c>
      <c r="D9" s="698" t="s">
        <v>18</v>
      </c>
      <c r="E9" s="699" t="s">
        <v>19</v>
      </c>
    </row>
    <row r="10" spans="1:5" ht="29" hidden="1">
      <c r="A10" s="704">
        <f t="shared" si="0"/>
        <v>7</v>
      </c>
      <c r="B10" s="699" t="s">
        <v>20</v>
      </c>
      <c r="C10" s="709" t="e">
        <f>#REF!</f>
        <v>#REF!</v>
      </c>
      <c r="D10" s="699" t="s">
        <v>21</v>
      </c>
      <c r="E10" s="699" t="s">
        <v>22</v>
      </c>
    </row>
    <row r="11" spans="1:5" ht="29" hidden="1">
      <c r="A11" s="704">
        <f>A10+1</f>
        <v>8</v>
      </c>
      <c r="B11" s="699" t="s">
        <v>23</v>
      </c>
      <c r="C11" s="717">
        <f>Assum!D59</f>
        <v>1</v>
      </c>
      <c r="D11" s="699" t="s">
        <v>24</v>
      </c>
      <c r="E11" s="699" t="s">
        <v>25</v>
      </c>
    </row>
    <row r="12" spans="1:5" ht="43.5" hidden="1">
      <c r="A12" s="704">
        <f t="shared" si="0"/>
        <v>9</v>
      </c>
      <c r="B12" s="699" t="s">
        <v>26</v>
      </c>
      <c r="C12" s="717" t="e">
        <f>Assum!#REF!</f>
        <v>#REF!</v>
      </c>
      <c r="D12" s="699" t="s">
        <v>27</v>
      </c>
      <c r="E12" s="699" t="s">
        <v>28</v>
      </c>
    </row>
    <row r="13" spans="1:5" hidden="1">
      <c r="A13" s="704">
        <f t="shared" si="0"/>
        <v>10</v>
      </c>
      <c r="B13" s="699" t="s">
        <v>29</v>
      </c>
      <c r="C13" s="705" t="e">
        <f>'Warehouse Cost'!#REF!</f>
        <v>#REF!</v>
      </c>
      <c r="D13" s="699" t="s">
        <v>30</v>
      </c>
      <c r="E13" s="699" t="s">
        <v>31</v>
      </c>
    </row>
    <row r="14" spans="1:5" ht="29" hidden="1">
      <c r="A14" s="704">
        <f t="shared" si="0"/>
        <v>11</v>
      </c>
      <c r="B14" s="699" t="s">
        <v>29</v>
      </c>
      <c r="C14" s="705" t="e">
        <f>'Warehouse Cost'!#REF!</f>
        <v>#REF!</v>
      </c>
      <c r="D14" s="699" t="s">
        <v>32</v>
      </c>
      <c r="E14" s="699" t="s">
        <v>31</v>
      </c>
    </row>
    <row r="15" spans="1:5" ht="29" hidden="1">
      <c r="A15" s="704">
        <f t="shared" si="0"/>
        <v>12</v>
      </c>
      <c r="B15" s="699" t="s">
        <v>29</v>
      </c>
      <c r="C15" s="708" t="s">
        <v>13</v>
      </c>
      <c r="D15" s="699" t="s">
        <v>33</v>
      </c>
      <c r="E15" s="699" t="s">
        <v>34</v>
      </c>
    </row>
    <row r="16" spans="1:5" ht="29" hidden="1">
      <c r="A16" s="704">
        <f t="shared" si="0"/>
        <v>13</v>
      </c>
      <c r="B16" s="699" t="s">
        <v>35</v>
      </c>
      <c r="C16" s="718" t="e">
        <f>Assum!#REF!</f>
        <v>#REF!</v>
      </c>
      <c r="D16" s="699" t="s">
        <v>36</v>
      </c>
      <c r="E16" s="699" t="s">
        <v>37</v>
      </c>
    </row>
    <row r="17" spans="1:5" hidden="1">
      <c r="A17" s="704">
        <f t="shared" si="0"/>
        <v>14</v>
      </c>
      <c r="B17" s="699" t="s">
        <v>38</v>
      </c>
      <c r="C17" s="710" t="s">
        <v>39</v>
      </c>
      <c r="D17" s="699" t="s">
        <v>40</v>
      </c>
      <c r="E17" s="699" t="s">
        <v>34</v>
      </c>
    </row>
    <row r="18" spans="1:5" ht="45" hidden="1" customHeight="1">
      <c r="A18" s="704">
        <f t="shared" si="0"/>
        <v>15</v>
      </c>
      <c r="B18" s="699" t="s">
        <v>41</v>
      </c>
      <c r="C18" s="710">
        <f>'P&amp;L'!F23</f>
        <v>0.7</v>
      </c>
      <c r="D18" s="699" t="s">
        <v>42</v>
      </c>
      <c r="E18" s="699" t="s">
        <v>43</v>
      </c>
    </row>
    <row r="19" spans="1:5" ht="30" hidden="1" customHeight="1">
      <c r="A19" s="704">
        <f t="shared" si="0"/>
        <v>16</v>
      </c>
      <c r="B19" s="699" t="s">
        <v>44</v>
      </c>
      <c r="C19" s="710">
        <f>'P&amp;L'!E21</f>
        <v>0.52962880000000001</v>
      </c>
      <c r="D19" s="699" t="s">
        <v>45</v>
      </c>
      <c r="E19" s="699" t="s">
        <v>31</v>
      </c>
    </row>
    <row r="20" spans="1:5" ht="60" hidden="1" customHeight="1">
      <c r="A20" s="704">
        <f t="shared" si="0"/>
        <v>17</v>
      </c>
      <c r="B20" s="699" t="s">
        <v>44</v>
      </c>
      <c r="C20" s="720">
        <f>'Warehouse Cost'!S22</f>
        <v>6986931</v>
      </c>
      <c r="D20" s="699" t="s">
        <v>46</v>
      </c>
      <c r="E20" s="699" t="s">
        <v>31</v>
      </c>
    </row>
    <row r="21" spans="1:5" ht="29" hidden="1">
      <c r="A21" s="704">
        <f t="shared" si="0"/>
        <v>18</v>
      </c>
      <c r="B21" s="699" t="s">
        <v>47</v>
      </c>
      <c r="C21" s="718">
        <f>Assum!D60</f>
        <v>6.0000000000000001E-3</v>
      </c>
      <c r="D21" s="699" t="s">
        <v>48</v>
      </c>
      <c r="E21" s="699" t="s">
        <v>31</v>
      </c>
    </row>
    <row r="22" spans="1:5" ht="29" hidden="1">
      <c r="A22" s="704">
        <f>A21+1</f>
        <v>19</v>
      </c>
      <c r="B22" s="699" t="s">
        <v>49</v>
      </c>
      <c r="C22" s="707">
        <f>Assum!D58</f>
        <v>0.03</v>
      </c>
      <c r="D22" s="699" t="s">
        <v>50</v>
      </c>
      <c r="E22" s="699" t="s">
        <v>31</v>
      </c>
    </row>
    <row r="23" spans="1:5" ht="45" hidden="1" customHeight="1">
      <c r="A23" s="704">
        <f>A22+1</f>
        <v>20</v>
      </c>
      <c r="B23" s="699" t="s">
        <v>51</v>
      </c>
      <c r="C23" s="718">
        <f>Assum!D61</f>
        <v>1E-3</v>
      </c>
      <c r="D23" s="699" t="s">
        <v>52</v>
      </c>
      <c r="E23" s="699" t="s">
        <v>37</v>
      </c>
    </row>
    <row r="24" spans="1:5" ht="57.5" hidden="1">
      <c r="A24" s="704"/>
      <c r="B24" s="711"/>
      <c r="C24" s="755">
        <f>Assum!D61</f>
        <v>1E-3</v>
      </c>
      <c r="D24" s="749" t="s">
        <v>53</v>
      </c>
      <c r="E24" s="749" t="s">
        <v>54</v>
      </c>
    </row>
    <row r="25" spans="1:5" ht="30" hidden="1" customHeight="1">
      <c r="A25" s="704">
        <f>A23+1</f>
        <v>21</v>
      </c>
      <c r="B25" s="699" t="s">
        <v>55</v>
      </c>
      <c r="C25" s="725">
        <f>Assum!D62</f>
        <v>1</v>
      </c>
      <c r="D25" s="699" t="s">
        <v>56</v>
      </c>
      <c r="E25" s="699" t="s">
        <v>57</v>
      </c>
    </row>
    <row r="26" spans="1:5" ht="29" hidden="1">
      <c r="A26" s="704">
        <f t="shared" ref="A26:A36" si="1">A25+1</f>
        <v>22</v>
      </c>
      <c r="B26" s="699" t="s">
        <v>58</v>
      </c>
      <c r="C26" s="711">
        <f>'Balance Sheet'!F10</f>
        <v>12.365589624023295</v>
      </c>
      <c r="D26" s="699" t="s">
        <v>59</v>
      </c>
      <c r="E26" s="699" t="s">
        <v>60</v>
      </c>
    </row>
    <row r="27" spans="1:5" ht="43.5" hidden="1">
      <c r="A27" s="704">
        <f t="shared" si="1"/>
        <v>23</v>
      </c>
      <c r="B27" s="699" t="s">
        <v>61</v>
      </c>
      <c r="C27" s="710">
        <f>'Balance Sheet'!F17</f>
        <v>0.5173294464896</v>
      </c>
      <c r="D27" s="699" t="s">
        <v>62</v>
      </c>
      <c r="E27" s="699" t="s">
        <v>63</v>
      </c>
    </row>
    <row r="28" spans="1:5" ht="28.5" hidden="1">
      <c r="A28" s="704">
        <f t="shared" si="1"/>
        <v>24</v>
      </c>
      <c r="B28" s="699" t="s">
        <v>64</v>
      </c>
      <c r="C28" s="711">
        <f>Capex!E66</f>
        <v>1.32</v>
      </c>
      <c r="D28" s="699" t="s">
        <v>65</v>
      </c>
      <c r="E28" s="699" t="s">
        <v>66</v>
      </c>
    </row>
    <row r="29" spans="1:5" ht="29" hidden="1">
      <c r="A29" s="704">
        <f t="shared" si="1"/>
        <v>25</v>
      </c>
      <c r="B29" s="699" t="s">
        <v>64</v>
      </c>
      <c r="C29" s="711">
        <f>Capex!E47</f>
        <v>0.02</v>
      </c>
      <c r="D29" s="699" t="s">
        <v>67</v>
      </c>
      <c r="E29" s="699" t="s">
        <v>68</v>
      </c>
    </row>
    <row r="30" spans="1:5" hidden="1">
      <c r="A30" s="704">
        <f t="shared" si="1"/>
        <v>26</v>
      </c>
      <c r="B30" s="699" t="s">
        <v>64</v>
      </c>
      <c r="C30" s="711">
        <f>Capex!E57</f>
        <v>42.2</v>
      </c>
      <c r="D30" s="699" t="s">
        <v>69</v>
      </c>
      <c r="E30" s="699" t="s">
        <v>70</v>
      </c>
    </row>
    <row r="31" spans="1:5" ht="29" hidden="1">
      <c r="A31" s="704">
        <f t="shared" si="1"/>
        <v>27</v>
      </c>
      <c r="B31" s="699" t="s">
        <v>71</v>
      </c>
      <c r="C31" s="719">
        <f>'Tax Dep '!I8</f>
        <v>153998.1</v>
      </c>
      <c r="D31" s="699" t="s">
        <v>72</v>
      </c>
      <c r="E31" s="699" t="s">
        <v>70</v>
      </c>
    </row>
    <row r="32" spans="1:5" ht="29" hidden="1">
      <c r="A32" s="704"/>
      <c r="B32" s="699"/>
      <c r="C32" s="719"/>
      <c r="D32" s="699"/>
      <c r="E32" s="699" t="s">
        <v>73</v>
      </c>
    </row>
    <row r="33" spans="1:10" ht="29" hidden="1">
      <c r="A33" s="704">
        <f>A31+1</f>
        <v>28</v>
      </c>
      <c r="B33" s="699" t="s">
        <v>74</v>
      </c>
      <c r="C33" s="712" t="s">
        <v>13</v>
      </c>
      <c r="D33" s="699" t="s">
        <v>75</v>
      </c>
      <c r="E33" s="699" t="s">
        <v>70</v>
      </c>
    </row>
    <row r="34" spans="1:10" ht="29" hidden="1">
      <c r="A34" s="704">
        <f t="shared" si="1"/>
        <v>29</v>
      </c>
      <c r="B34" s="699" t="s">
        <v>76</v>
      </c>
      <c r="C34" s="712" t="s">
        <v>13</v>
      </c>
      <c r="D34" s="699" t="s">
        <v>77</v>
      </c>
      <c r="E34" s="699" t="s">
        <v>78</v>
      </c>
    </row>
    <row r="35" spans="1:10" hidden="1">
      <c r="A35" s="704">
        <f t="shared" si="1"/>
        <v>30</v>
      </c>
      <c r="B35" s="711" t="s">
        <v>79</v>
      </c>
      <c r="C35" s="756">
        <f>'EBO &amp; Distributor temp'!C8</f>
        <v>382191.47955056169</v>
      </c>
      <c r="D35" s="711"/>
      <c r="E35" s="699" t="s">
        <v>80</v>
      </c>
    </row>
    <row r="36" spans="1:10" ht="29" hidden="1">
      <c r="A36" s="704">
        <f t="shared" si="1"/>
        <v>31</v>
      </c>
      <c r="B36" s="757" t="s">
        <v>81</v>
      </c>
      <c r="C36" s="748">
        <f>'EBO &amp; Distributor temp'!C13</f>
        <v>23044830.730000004</v>
      </c>
      <c r="D36" s="699"/>
      <c r="E36" s="757" t="s">
        <v>82</v>
      </c>
    </row>
    <row r="37" spans="1:10" hidden="1">
      <c r="A37" s="727"/>
      <c r="B37" s="727"/>
      <c r="C37" s="747"/>
      <c r="D37" s="713"/>
      <c r="E37" s="758"/>
    </row>
    <row r="39" spans="1:10">
      <c r="A39" s="848">
        <v>45475</v>
      </c>
    </row>
    <row r="41" spans="1:10">
      <c r="A41">
        <v>1</v>
      </c>
      <c r="B41" s="808" t="s">
        <v>83</v>
      </c>
    </row>
    <row r="42" spans="1:10">
      <c r="A42">
        <v>2</v>
      </c>
      <c r="B42" s="808" t="s">
        <v>84</v>
      </c>
    </row>
    <row r="43" spans="1:10" ht="15" thickBot="1">
      <c r="B43" s="809"/>
      <c r="C43" s="809"/>
      <c r="D43" s="809"/>
      <c r="E43" s="809"/>
      <c r="F43" s="1015" t="s">
        <v>85</v>
      </c>
      <c r="G43" s="1016"/>
      <c r="H43" s="1016"/>
      <c r="I43" s="1016"/>
      <c r="J43" s="1017"/>
    </row>
    <row r="44" spans="1:10" ht="15" thickBot="1">
      <c r="B44" s="810" t="s">
        <v>86</v>
      </c>
      <c r="C44" s="811" t="s">
        <v>87</v>
      </c>
      <c r="D44" s="811" t="s">
        <v>88</v>
      </c>
      <c r="E44" s="811" t="s">
        <v>89</v>
      </c>
      <c r="F44" s="811" t="s">
        <v>90</v>
      </c>
      <c r="G44" s="811" t="s">
        <v>91</v>
      </c>
      <c r="H44" s="811" t="s">
        <v>92</v>
      </c>
      <c r="I44" s="811" t="s">
        <v>93</v>
      </c>
      <c r="J44" s="811" t="s">
        <v>94</v>
      </c>
    </row>
    <row r="45" spans="1:10">
      <c r="B45" s="858">
        <v>1</v>
      </c>
      <c r="C45" s="854" t="s">
        <v>95</v>
      </c>
      <c r="D45" s="854" t="s">
        <v>96</v>
      </c>
      <c r="E45" s="854" t="s">
        <v>97</v>
      </c>
      <c r="F45" s="854"/>
      <c r="G45" s="855"/>
      <c r="H45" s="856"/>
      <c r="I45" s="855"/>
      <c r="J45" s="856"/>
    </row>
    <row r="46" spans="1:10">
      <c r="B46" s="859">
        <v>2</v>
      </c>
      <c r="C46" s="812" t="s">
        <v>95</v>
      </c>
      <c r="D46" s="812" t="s">
        <v>98</v>
      </c>
      <c r="E46" s="812" t="s">
        <v>99</v>
      </c>
      <c r="F46" s="812"/>
      <c r="G46" s="853"/>
      <c r="H46" s="813"/>
      <c r="I46" s="853"/>
      <c r="J46" s="813"/>
    </row>
    <row r="47" spans="1:10">
      <c r="B47" s="859">
        <v>3</v>
      </c>
      <c r="C47" s="812" t="s">
        <v>100</v>
      </c>
      <c r="D47" s="812" t="s">
        <v>101</v>
      </c>
      <c r="E47" s="812" t="s">
        <v>99</v>
      </c>
      <c r="F47" s="812"/>
      <c r="G47" s="853"/>
      <c r="H47" s="813"/>
      <c r="I47" s="853"/>
      <c r="J47" s="813"/>
    </row>
    <row r="48" spans="1:10">
      <c r="B48" s="859">
        <v>4</v>
      </c>
      <c r="C48" s="812" t="s">
        <v>102</v>
      </c>
      <c r="D48" s="812" t="s">
        <v>103</v>
      </c>
      <c r="E48" s="812" t="s">
        <v>104</v>
      </c>
      <c r="F48" s="812"/>
      <c r="G48" s="853"/>
      <c r="H48" s="813"/>
      <c r="I48" s="853"/>
      <c r="J48" s="813"/>
    </row>
    <row r="49" spans="1:10">
      <c r="B49" s="859">
        <v>5</v>
      </c>
      <c r="C49" s="812" t="s">
        <v>102</v>
      </c>
      <c r="D49" s="812" t="s">
        <v>105</v>
      </c>
      <c r="E49" s="812" t="s">
        <v>106</v>
      </c>
      <c r="F49" s="812"/>
      <c r="G49" s="853"/>
      <c r="H49" s="813"/>
      <c r="I49" s="853"/>
      <c r="J49" s="813"/>
    </row>
    <row r="50" spans="1:10">
      <c r="B50" s="859">
        <v>6</v>
      </c>
      <c r="C50" s="812" t="s">
        <v>107</v>
      </c>
      <c r="D50" s="812" t="s">
        <v>108</v>
      </c>
      <c r="E50" s="812" t="s">
        <v>104</v>
      </c>
      <c r="F50" s="812"/>
      <c r="G50" s="853"/>
      <c r="H50" s="813"/>
      <c r="I50" s="853"/>
      <c r="J50" s="813"/>
    </row>
    <row r="51" spans="1:10" ht="15" thickBot="1">
      <c r="B51" s="860">
        <v>7</v>
      </c>
      <c r="C51" s="857"/>
      <c r="D51" s="814" t="s">
        <v>109</v>
      </c>
      <c r="E51" s="814"/>
      <c r="F51" s="814"/>
      <c r="G51" s="814"/>
      <c r="H51" s="814"/>
      <c r="I51" s="814"/>
      <c r="J51" s="814"/>
    </row>
    <row r="52" spans="1:10">
      <c r="A52">
        <v>3</v>
      </c>
      <c r="B52" s="808" t="s">
        <v>110</v>
      </c>
    </row>
    <row r="53" spans="1:10">
      <c r="A53">
        <v>4</v>
      </c>
      <c r="B53" s="808" t="s">
        <v>111</v>
      </c>
    </row>
    <row r="54" spans="1:10">
      <c r="A54">
        <v>5</v>
      </c>
      <c r="B54" s="808" t="s">
        <v>112</v>
      </c>
    </row>
    <row r="55" spans="1:10">
      <c r="A55">
        <v>6</v>
      </c>
      <c r="B55" s="808" t="s">
        <v>113</v>
      </c>
    </row>
    <row r="56" spans="1:10">
      <c r="B56" s="815"/>
      <c r="C56" s="1018"/>
      <c r="D56" s="1018"/>
      <c r="E56" s="1018"/>
      <c r="F56" s="1018"/>
      <c r="G56" s="1018"/>
      <c r="H56" s="1018"/>
    </row>
    <row r="57" spans="1:10" ht="15" thickBot="1">
      <c r="B57" s="816" t="s">
        <v>114</v>
      </c>
      <c r="C57" s="1019"/>
      <c r="D57" s="1019"/>
      <c r="E57" s="1019"/>
      <c r="F57" s="1018"/>
      <c r="G57" s="1018"/>
      <c r="H57" s="1018"/>
    </row>
    <row r="58" spans="1:10" ht="15" thickBot="1">
      <c r="B58" s="817"/>
      <c r="C58" s="818" t="s">
        <v>115</v>
      </c>
      <c r="D58" s="818" t="s">
        <v>115</v>
      </c>
      <c r="E58" s="818" t="s">
        <v>116</v>
      </c>
      <c r="F58" s="818" t="s">
        <v>117</v>
      </c>
      <c r="G58" s="819"/>
      <c r="H58" s="809"/>
      <c r="I58" s="809"/>
    </row>
    <row r="59" spans="1:10" ht="15" thickBot="1">
      <c r="B59" s="820" t="s">
        <v>118</v>
      </c>
      <c r="C59" s="821"/>
      <c r="D59" s="821"/>
      <c r="E59" s="821"/>
      <c r="F59" s="821"/>
      <c r="G59" s="825" t="s">
        <v>119</v>
      </c>
      <c r="H59" s="822"/>
      <c r="I59" s="822"/>
    </row>
    <row r="60" spans="1:10" ht="15" thickBot="1">
      <c r="B60" s="820" t="s">
        <v>120</v>
      </c>
      <c r="C60" s="821"/>
      <c r="D60" s="821"/>
      <c r="E60" s="821"/>
      <c r="F60" s="821"/>
      <c r="G60" s="819"/>
      <c r="H60" s="809"/>
      <c r="I60" s="809"/>
    </row>
    <row r="61" spans="1:10" ht="16">
      <c r="B61" s="823"/>
    </row>
    <row r="62" spans="1:10">
      <c r="B62" s="824"/>
    </row>
  </sheetData>
  <mergeCells count="7">
    <mergeCell ref="F43:J43"/>
    <mergeCell ref="C56:C57"/>
    <mergeCell ref="D56:D57"/>
    <mergeCell ref="E56:E57"/>
    <mergeCell ref="F56:F57"/>
    <mergeCell ref="G56:G57"/>
    <mergeCell ref="H56:H57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customProperties>
    <customPr name="OrphanNamesChecke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6683-CE27-4DDE-9091-7E14FC5016B8}">
  <dimension ref="A1:J63"/>
  <sheetViews>
    <sheetView showGridLines="0" zoomScale="80" zoomScaleNormal="80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D57" sqref="D57"/>
    </sheetView>
  </sheetViews>
  <sheetFormatPr defaultColWidth="9.1796875" defaultRowHeight="12.5"/>
  <cols>
    <col min="1" max="1" width="3.453125" style="67" customWidth="1"/>
    <col min="2" max="2" width="33.54296875" style="67" bestFit="1" customWidth="1"/>
    <col min="3" max="3" width="11.26953125" style="67" customWidth="1"/>
    <col min="4" max="7" width="10.54296875" style="67" customWidth="1"/>
    <col min="8" max="8" width="18.1796875" style="67" bestFit="1" customWidth="1"/>
    <col min="9" max="9" width="15.1796875" style="67" bestFit="1" customWidth="1"/>
    <col min="10" max="16384" width="9.1796875" style="67"/>
  </cols>
  <sheetData>
    <row r="1" spans="1:10" ht="13">
      <c r="C1" s="294" t="s">
        <v>277</v>
      </c>
      <c r="D1" s="294" t="s">
        <v>278</v>
      </c>
      <c r="E1" s="294" t="s">
        <v>279</v>
      </c>
      <c r="F1" s="294" t="s">
        <v>280</v>
      </c>
      <c r="G1" s="294" t="s">
        <v>281</v>
      </c>
      <c r="J1" s="227"/>
    </row>
    <row r="2" spans="1:10" ht="13">
      <c r="B2" s="167" t="s">
        <v>377</v>
      </c>
      <c r="C2" s="167"/>
      <c r="D2" s="161"/>
      <c r="E2" s="161"/>
      <c r="F2" s="161"/>
      <c r="G2" s="161"/>
      <c r="H2" s="161"/>
      <c r="J2" s="227"/>
    </row>
    <row r="3" spans="1:10" ht="13">
      <c r="A3" s="153"/>
      <c r="B3" s="153"/>
      <c r="C3" s="294" t="s">
        <v>277</v>
      </c>
      <c r="D3" s="294" t="s">
        <v>278</v>
      </c>
      <c r="E3" s="294" t="s">
        <v>279</v>
      </c>
      <c r="F3" s="294" t="s">
        <v>280</v>
      </c>
      <c r="G3" s="294" t="s">
        <v>281</v>
      </c>
      <c r="J3" s="227"/>
    </row>
    <row r="4" spans="1:10" ht="13">
      <c r="A4" s="145">
        <v>1</v>
      </c>
      <c r="B4" s="145" t="s">
        <v>378</v>
      </c>
      <c r="C4" s="145">
        <f>ROUNDUP('Revenue '!Q55*C5,0)</f>
        <v>142</v>
      </c>
      <c r="D4" s="145">
        <f>ROUNDUP('Revenue '!X55*Assum!D5,0)</f>
        <v>156</v>
      </c>
      <c r="E4" s="145">
        <f>ROUNDUP('Revenue '!AE55*Assum!E5,0)</f>
        <v>171</v>
      </c>
      <c r="F4" s="145">
        <f>ROUNDUP('Revenue '!AL55*Assum!F5,0)</f>
        <v>188</v>
      </c>
      <c r="G4" s="145">
        <f>ROUNDUP('Revenue '!AS55*Assum!G5,0)</f>
        <v>207</v>
      </c>
      <c r="H4" s="936" t="s">
        <v>379</v>
      </c>
      <c r="J4" s="227"/>
    </row>
    <row r="5" spans="1:10">
      <c r="A5" s="145"/>
      <c r="B5" s="145" t="s">
        <v>380</v>
      </c>
      <c r="C5" s="169">
        <v>0.1</v>
      </c>
      <c r="D5" s="169">
        <v>0.1</v>
      </c>
      <c r="E5" s="169">
        <v>0.1</v>
      </c>
      <c r="F5" s="169">
        <v>0.1</v>
      </c>
      <c r="G5" s="169">
        <v>0.1</v>
      </c>
      <c r="J5" s="227"/>
    </row>
    <row r="6" spans="1:10">
      <c r="D6" s="155"/>
      <c r="E6" s="155"/>
      <c r="F6" s="155"/>
      <c r="G6" s="155"/>
      <c r="J6" s="227"/>
    </row>
    <row r="7" spans="1:10" ht="13">
      <c r="A7" s="67">
        <v>2</v>
      </c>
      <c r="B7" s="54" t="s">
        <v>381</v>
      </c>
      <c r="J7" s="227"/>
    </row>
    <row r="8" spans="1:10" ht="12.75" customHeight="1">
      <c r="B8" s="145"/>
      <c r="C8" s="1044" t="s">
        <v>382</v>
      </c>
      <c r="D8" s="1045"/>
      <c r="E8" s="1045"/>
      <c r="F8" s="1045"/>
      <c r="G8" s="1045"/>
      <c r="J8" s="227"/>
    </row>
    <row r="9" spans="1:10" ht="13">
      <c r="B9" s="296" t="s">
        <v>383</v>
      </c>
      <c r="C9" s="297" t="s">
        <v>95</v>
      </c>
      <c r="D9" s="297" t="s">
        <v>301</v>
      </c>
      <c r="E9" s="298" t="s">
        <v>102</v>
      </c>
      <c r="F9" s="297" t="s">
        <v>107</v>
      </c>
      <c r="G9" s="299" t="s">
        <v>384</v>
      </c>
      <c r="H9" s="937" t="s">
        <v>385</v>
      </c>
      <c r="J9" s="227"/>
    </row>
    <row r="10" spans="1:10">
      <c r="B10" s="145"/>
      <c r="C10" s="193">
        <v>0.5</v>
      </c>
      <c r="D10" s="193">
        <v>0.2</v>
      </c>
      <c r="E10" s="277">
        <v>0.2</v>
      </c>
      <c r="F10" s="193">
        <v>0.1</v>
      </c>
      <c r="G10" s="193"/>
      <c r="J10" s="408"/>
    </row>
    <row r="11" spans="1:10">
      <c r="B11" s="145" t="s">
        <v>293</v>
      </c>
      <c r="C11" s="193">
        <v>1</v>
      </c>
      <c r="D11" s="194"/>
      <c r="E11" s="278"/>
      <c r="F11" s="192"/>
      <c r="G11" s="145"/>
      <c r="J11" s="227"/>
    </row>
    <row r="12" spans="1:10">
      <c r="B12" s="145" t="s">
        <v>298</v>
      </c>
      <c r="C12" s="193">
        <v>0</v>
      </c>
      <c r="D12" s="192"/>
      <c r="E12" s="278"/>
      <c r="F12" s="192"/>
      <c r="G12" s="145"/>
      <c r="J12" s="227"/>
    </row>
    <row r="13" spans="1:10">
      <c r="B13" s="145" t="s">
        <v>300</v>
      </c>
      <c r="C13" s="193">
        <v>0</v>
      </c>
      <c r="D13" s="192"/>
      <c r="E13" s="278"/>
      <c r="F13" s="192"/>
      <c r="G13" s="145"/>
      <c r="J13" s="227"/>
    </row>
    <row r="14" spans="1:10">
      <c r="B14" s="145" t="s">
        <v>302</v>
      </c>
      <c r="C14" s="192"/>
      <c r="D14" s="193">
        <v>0.6</v>
      </c>
      <c r="E14" s="278"/>
      <c r="F14" s="192"/>
      <c r="G14" s="145"/>
      <c r="J14" s="227"/>
    </row>
    <row r="15" spans="1:10">
      <c r="B15" s="145" t="s">
        <v>303</v>
      </c>
      <c r="C15" s="192"/>
      <c r="D15" s="193">
        <v>0.2</v>
      </c>
      <c r="E15" s="278"/>
      <c r="F15" s="192"/>
      <c r="G15" s="145"/>
      <c r="J15" s="227"/>
    </row>
    <row r="16" spans="1:10">
      <c r="B16" s="145" t="s">
        <v>304</v>
      </c>
      <c r="C16" s="192"/>
      <c r="D16" s="193">
        <v>0.2</v>
      </c>
      <c r="E16" s="278"/>
      <c r="F16" s="192"/>
      <c r="G16" s="145"/>
      <c r="J16" s="227"/>
    </row>
    <row r="17" spans="1:10">
      <c r="B17" s="145" t="s">
        <v>305</v>
      </c>
      <c r="C17" s="192"/>
      <c r="D17" s="192"/>
      <c r="E17" s="277">
        <v>0.6</v>
      </c>
      <c r="F17" s="192"/>
      <c r="G17" s="145"/>
      <c r="J17" s="227"/>
    </row>
    <row r="18" spans="1:10">
      <c r="B18" s="145" t="s">
        <v>105</v>
      </c>
      <c r="C18" s="192"/>
      <c r="D18" s="192"/>
      <c r="E18" s="277">
        <v>0.2</v>
      </c>
      <c r="F18" s="192"/>
      <c r="G18" s="145"/>
      <c r="J18" s="227"/>
    </row>
    <row r="19" spans="1:10">
      <c r="B19" s="145" t="s">
        <v>306</v>
      </c>
      <c r="C19" s="192"/>
      <c r="D19" s="192"/>
      <c r="E19" s="277">
        <v>0.2</v>
      </c>
      <c r="F19" s="192"/>
      <c r="G19" s="145"/>
      <c r="J19" s="227"/>
    </row>
    <row r="20" spans="1:10">
      <c r="B20" s="145" t="s">
        <v>108</v>
      </c>
      <c r="C20" s="192"/>
      <c r="D20" s="192"/>
      <c r="E20" s="278"/>
      <c r="F20" s="193">
        <v>0.4</v>
      </c>
      <c r="G20" s="145"/>
      <c r="J20" s="227"/>
    </row>
    <row r="21" spans="1:10">
      <c r="B21" s="145" t="s">
        <v>307</v>
      </c>
      <c r="C21" s="192"/>
      <c r="D21" s="192"/>
      <c r="E21" s="278"/>
      <c r="F21" s="193">
        <v>0.4</v>
      </c>
      <c r="G21" s="145"/>
      <c r="J21" s="227"/>
    </row>
    <row r="22" spans="1:10">
      <c r="B22" s="145" t="s">
        <v>308</v>
      </c>
      <c r="C22" s="192"/>
      <c r="D22" s="192"/>
      <c r="E22" s="278"/>
      <c r="F22" s="193">
        <v>0.2</v>
      </c>
      <c r="G22" s="145"/>
      <c r="J22" s="227"/>
    </row>
    <row r="23" spans="1:10" ht="13">
      <c r="B23" s="274" t="s">
        <v>132</v>
      </c>
      <c r="C23" s="192"/>
      <c r="D23" s="192"/>
      <c r="E23" s="192"/>
      <c r="F23" s="193"/>
      <c r="G23" s="145"/>
      <c r="J23" s="227"/>
    </row>
    <row r="24" spans="1:10">
      <c r="D24" s="156"/>
      <c r="E24" s="156"/>
      <c r="F24" s="156"/>
      <c r="G24" s="156"/>
      <c r="J24" s="227"/>
    </row>
    <row r="25" spans="1:10">
      <c r="B25" s="67" t="s">
        <v>386</v>
      </c>
      <c r="D25" s="156"/>
      <c r="E25" s="156"/>
      <c r="F25" s="156"/>
      <c r="G25" s="156"/>
      <c r="J25" s="227"/>
    </row>
    <row r="26" spans="1:10" ht="13">
      <c r="B26" s="296" t="s">
        <v>387</v>
      </c>
      <c r="C26" s="296" t="s">
        <v>278</v>
      </c>
      <c r="D26" s="299" t="s">
        <v>279</v>
      </c>
      <c r="E26" s="299" t="s">
        <v>280</v>
      </c>
      <c r="F26" s="299" t="s">
        <v>281</v>
      </c>
      <c r="G26" s="296" t="s">
        <v>388</v>
      </c>
      <c r="H26" s="296" t="s">
        <v>389</v>
      </c>
      <c r="I26" s="262" t="s">
        <v>390</v>
      </c>
    </row>
    <row r="27" spans="1:10">
      <c r="B27" s="145" t="s">
        <v>391</v>
      </c>
      <c r="C27" s="275">
        <f>$G$27/$H$27</f>
        <v>0.2</v>
      </c>
      <c r="D27" s="275">
        <f>$G$27/$H$27</f>
        <v>0.2</v>
      </c>
      <c r="E27" s="275">
        <f>$G$27/$H$27</f>
        <v>0.2</v>
      </c>
      <c r="F27" s="275">
        <f>$G$27/$H$27</f>
        <v>0.2</v>
      </c>
      <c r="G27" s="169">
        <v>0.8</v>
      </c>
      <c r="H27" s="145">
        <v>4</v>
      </c>
      <c r="I27" s="262"/>
    </row>
    <row r="28" spans="1:10">
      <c r="B28" s="145" t="s">
        <v>392</v>
      </c>
      <c r="C28" s="275">
        <f>$G$28/$H$28</f>
        <v>2.4999999999999994E-2</v>
      </c>
      <c r="D28" s="275">
        <f>$G$28/$H$28</f>
        <v>2.4999999999999994E-2</v>
      </c>
      <c r="E28" s="275">
        <f>$G$28/$H$28</f>
        <v>2.4999999999999994E-2</v>
      </c>
      <c r="F28" s="275">
        <f>$G$28/$H$28</f>
        <v>2.4999999999999994E-2</v>
      </c>
      <c r="G28" s="169">
        <f>100%-G27</f>
        <v>0.19999999999999996</v>
      </c>
      <c r="H28" s="145">
        <v>8</v>
      </c>
      <c r="I28" s="262"/>
    </row>
    <row r="29" spans="1:10">
      <c r="D29" s="156"/>
      <c r="E29" s="156"/>
      <c r="F29" s="156"/>
      <c r="G29" s="156"/>
      <c r="I29" s="262"/>
    </row>
    <row r="30" spans="1:10" ht="13">
      <c r="B30" s="167" t="s">
        <v>393</v>
      </c>
      <c r="C30" s="167"/>
      <c r="D30" s="161"/>
      <c r="E30" s="161"/>
      <c r="F30" s="161"/>
      <c r="G30" s="161"/>
      <c r="H30" s="161"/>
      <c r="I30" s="262"/>
    </row>
    <row r="31" spans="1:10" ht="13">
      <c r="B31" s="153"/>
      <c r="C31" s="294" t="s">
        <v>277</v>
      </c>
      <c r="D31" s="294" t="s">
        <v>278</v>
      </c>
      <c r="E31" s="294" t="s">
        <v>279</v>
      </c>
      <c r="F31" s="294" t="s">
        <v>280</v>
      </c>
      <c r="G31" s="294" t="s">
        <v>281</v>
      </c>
      <c r="I31" s="262" t="s">
        <v>394</v>
      </c>
    </row>
    <row r="32" spans="1:10">
      <c r="A32" s="67">
        <v>1</v>
      </c>
      <c r="B32" s="145" t="s">
        <v>395</v>
      </c>
      <c r="C32" s="168">
        <f>'Revenue '!Q55</f>
        <v>1412</v>
      </c>
      <c r="D32" s="271">
        <f>ROUND(C32*(1+D33),0)</f>
        <v>1553</v>
      </c>
      <c r="E32" s="271">
        <f>ROUND(D32*(1+E33),0)</f>
        <v>1708</v>
      </c>
      <c r="F32" s="271">
        <f>ROUND(E32*(1+F33),0)</f>
        <v>1879</v>
      </c>
      <c r="G32" s="271">
        <f>ROUND(F32*(1+G33),0)</f>
        <v>2067</v>
      </c>
      <c r="I32" s="262"/>
    </row>
    <row r="33" spans="1:10">
      <c r="A33" s="67">
        <v>2</v>
      </c>
      <c r="B33" s="145" t="s">
        <v>396</v>
      </c>
      <c r="C33" s="145"/>
      <c r="D33" s="169">
        <v>0.1</v>
      </c>
      <c r="E33" s="169">
        <v>0.1</v>
      </c>
      <c r="F33" s="169">
        <v>0.1</v>
      </c>
      <c r="G33" s="169">
        <v>0.1</v>
      </c>
      <c r="I33" s="262"/>
    </row>
    <row r="34" spans="1:10">
      <c r="D34" s="155"/>
      <c r="E34" s="155"/>
      <c r="F34" s="155"/>
      <c r="G34" s="155"/>
      <c r="I34" s="262"/>
    </row>
    <row r="35" spans="1:10">
      <c r="B35" s="67" t="s">
        <v>397</v>
      </c>
      <c r="I35" s="262"/>
    </row>
    <row r="36" spans="1:10" ht="19.5" customHeight="1">
      <c r="B36" s="296" t="s">
        <v>387</v>
      </c>
      <c r="C36" s="296" t="s">
        <v>278</v>
      </c>
      <c r="D36" s="299" t="s">
        <v>279</v>
      </c>
      <c r="E36" s="299" t="s">
        <v>280</v>
      </c>
      <c r="F36" s="299" t="s">
        <v>281</v>
      </c>
      <c r="G36" s="294" t="s">
        <v>388</v>
      </c>
      <c r="H36" s="296" t="s">
        <v>398</v>
      </c>
      <c r="I36" s="262" t="s">
        <v>399</v>
      </c>
    </row>
    <row r="37" spans="1:10">
      <c r="B37" s="145" t="s">
        <v>400</v>
      </c>
      <c r="C37" s="275">
        <f>$G$37/$H$37</f>
        <v>0.17499999999999999</v>
      </c>
      <c r="D37" s="275">
        <f>$G$37/$H$37</f>
        <v>0.17499999999999999</v>
      </c>
      <c r="E37" s="275">
        <f>$G$37/$H$37</f>
        <v>0.17499999999999999</v>
      </c>
      <c r="F37" s="275">
        <f>$G$37/$H$37</f>
        <v>0.17499999999999999</v>
      </c>
      <c r="G37" s="169">
        <v>0.7</v>
      </c>
      <c r="H37" s="145">
        <v>4</v>
      </c>
      <c r="J37" s="227"/>
    </row>
    <row r="38" spans="1:10">
      <c r="B38" s="145" t="s">
        <v>401</v>
      </c>
      <c r="C38" s="275">
        <f>$G$38/$H$38</f>
        <v>3.7500000000000006E-2</v>
      </c>
      <c r="D38" s="275">
        <f>$G$38/$H$38</f>
        <v>3.7500000000000006E-2</v>
      </c>
      <c r="E38" s="275">
        <f>$G$38/$H$38</f>
        <v>3.7500000000000006E-2</v>
      </c>
      <c r="F38" s="275">
        <f>$G$38/$H$38</f>
        <v>3.7500000000000006E-2</v>
      </c>
      <c r="G38" s="169">
        <f>100%-G37</f>
        <v>0.30000000000000004</v>
      </c>
      <c r="H38" s="145">
        <v>8</v>
      </c>
      <c r="J38" s="227"/>
    </row>
    <row r="39" spans="1:10">
      <c r="J39" s="227"/>
    </row>
    <row r="40" spans="1:10" ht="13">
      <c r="B40" s="167" t="s">
        <v>402</v>
      </c>
      <c r="C40" s="167"/>
      <c r="D40" s="161"/>
      <c r="E40" s="161"/>
      <c r="F40" s="161"/>
      <c r="G40" s="161"/>
      <c r="H40" s="161"/>
      <c r="J40" s="227"/>
    </row>
    <row r="41" spans="1:10" ht="13">
      <c r="B41" s="296" t="s">
        <v>403</v>
      </c>
      <c r="C41" s="296" t="s">
        <v>278</v>
      </c>
      <c r="D41" s="299" t="s">
        <v>279</v>
      </c>
      <c r="E41" s="302" t="s">
        <v>280</v>
      </c>
      <c r="F41" s="299" t="s">
        <v>281</v>
      </c>
      <c r="J41" s="227"/>
    </row>
    <row r="42" spans="1:10">
      <c r="B42" s="276" t="s">
        <v>293</v>
      </c>
      <c r="C42" s="169">
        <v>0.75</v>
      </c>
      <c r="D42" s="169">
        <v>0.5</v>
      </c>
      <c r="E42" s="169">
        <v>0.5</v>
      </c>
      <c r="F42" s="169">
        <v>0.45</v>
      </c>
    </row>
    <row r="43" spans="1:10">
      <c r="B43" s="147" t="s">
        <v>298</v>
      </c>
      <c r="C43" s="169">
        <v>0.67</v>
      </c>
      <c r="D43" s="169">
        <v>0.5</v>
      </c>
      <c r="E43" s="169">
        <v>0.5</v>
      </c>
      <c r="F43" s="169">
        <v>0.45</v>
      </c>
    </row>
    <row r="44" spans="1:10">
      <c r="B44" s="415" t="s">
        <v>300</v>
      </c>
      <c r="C44" s="414">
        <v>0.55000000000000004</v>
      </c>
      <c r="D44" s="414">
        <v>0.4</v>
      </c>
      <c r="E44" s="414">
        <v>0.4</v>
      </c>
      <c r="F44" s="414">
        <v>0.4</v>
      </c>
    </row>
    <row r="45" spans="1:10">
      <c r="B45" s="147" t="s">
        <v>302</v>
      </c>
      <c r="C45" s="169">
        <v>2.8</v>
      </c>
      <c r="D45" s="169">
        <v>0.4</v>
      </c>
      <c r="E45" s="169">
        <v>0.4</v>
      </c>
      <c r="F45" s="169">
        <v>0.35</v>
      </c>
    </row>
    <row r="46" spans="1:10">
      <c r="B46" s="147" t="s">
        <v>303</v>
      </c>
      <c r="C46" s="169">
        <v>1.65</v>
      </c>
      <c r="D46" s="169">
        <v>0.4</v>
      </c>
      <c r="E46" s="169">
        <v>0.4</v>
      </c>
      <c r="F46" s="169">
        <v>0.35</v>
      </c>
    </row>
    <row r="47" spans="1:10">
      <c r="B47" s="415" t="s">
        <v>304</v>
      </c>
      <c r="C47" s="414">
        <v>0.55000000000000004</v>
      </c>
      <c r="D47" s="414">
        <v>0.5</v>
      </c>
      <c r="E47" s="414">
        <v>0.5</v>
      </c>
      <c r="F47" s="414">
        <v>0.5</v>
      </c>
    </row>
    <row r="48" spans="1:10">
      <c r="B48" s="147" t="s">
        <v>305</v>
      </c>
      <c r="C48" s="169">
        <v>3.3</v>
      </c>
      <c r="D48" s="169">
        <v>0.4</v>
      </c>
      <c r="E48" s="169">
        <v>0.4</v>
      </c>
      <c r="F48" s="169">
        <v>0.35</v>
      </c>
    </row>
    <row r="49" spans="1:9">
      <c r="B49" s="147" t="s">
        <v>105</v>
      </c>
      <c r="C49" s="169">
        <v>1</v>
      </c>
      <c r="D49" s="169">
        <v>0.4</v>
      </c>
      <c r="E49" s="169">
        <v>0.4</v>
      </c>
      <c r="F49" s="169">
        <v>0.35</v>
      </c>
    </row>
    <row r="50" spans="1:9">
      <c r="B50" s="415" t="s">
        <v>306</v>
      </c>
      <c r="C50" s="414">
        <v>0.55000000000000004</v>
      </c>
      <c r="D50" s="414">
        <v>0.5</v>
      </c>
      <c r="E50" s="414">
        <v>0.5</v>
      </c>
      <c r="F50" s="414">
        <v>0.5</v>
      </c>
    </row>
    <row r="51" spans="1:9">
      <c r="B51" s="147" t="s">
        <v>108</v>
      </c>
      <c r="C51" s="169">
        <v>1</v>
      </c>
      <c r="D51" s="169">
        <v>0.5</v>
      </c>
      <c r="E51" s="169">
        <v>0.8</v>
      </c>
      <c r="F51" s="169">
        <v>0.7</v>
      </c>
    </row>
    <row r="52" spans="1:9">
      <c r="B52" s="147" t="s">
        <v>307</v>
      </c>
      <c r="C52" s="169">
        <v>1</v>
      </c>
      <c r="D52" s="169">
        <v>0.5</v>
      </c>
      <c r="E52" s="169">
        <v>0.8</v>
      </c>
      <c r="F52" s="169">
        <v>0.7</v>
      </c>
    </row>
    <row r="53" spans="1:9">
      <c r="B53" s="415" t="s">
        <v>308</v>
      </c>
      <c r="C53" s="414">
        <v>0.65</v>
      </c>
      <c r="D53" s="414">
        <v>0.8</v>
      </c>
      <c r="E53" s="414">
        <v>0.8</v>
      </c>
      <c r="F53" s="414">
        <v>0.8</v>
      </c>
    </row>
    <row r="55" spans="1:9" ht="13">
      <c r="A55" s="161"/>
      <c r="B55" s="167" t="s">
        <v>404</v>
      </c>
      <c r="C55" s="161"/>
      <c r="D55" s="161"/>
      <c r="E55" s="161"/>
      <c r="F55" s="161"/>
      <c r="G55" s="161"/>
      <c r="H55" s="161"/>
    </row>
    <row r="56" spans="1:9" ht="13">
      <c r="H56" s="840" t="s">
        <v>405</v>
      </c>
    </row>
    <row r="57" spans="1:9" ht="25">
      <c r="B57" s="149" t="s">
        <v>406</v>
      </c>
      <c r="D57" s="641">
        <v>0.76</v>
      </c>
      <c r="E57" s="641">
        <v>0.77</v>
      </c>
      <c r="F57" s="641">
        <v>0.78</v>
      </c>
      <c r="G57" s="641">
        <v>0.78</v>
      </c>
      <c r="H57" s="876" t="s">
        <v>407</v>
      </c>
    </row>
    <row r="58" spans="1:9">
      <c r="B58" s="67" t="s">
        <v>408</v>
      </c>
      <c r="D58" s="769">
        <v>0.03</v>
      </c>
      <c r="E58" s="769">
        <v>0.03</v>
      </c>
      <c r="F58" s="769">
        <v>0.03</v>
      </c>
      <c r="G58" s="769">
        <v>0.03</v>
      </c>
      <c r="H58" s="876" t="s">
        <v>407</v>
      </c>
      <c r="I58" s="191" t="s">
        <v>409</v>
      </c>
    </row>
    <row r="59" spans="1:9" ht="13">
      <c r="B59" s="67" t="s">
        <v>410</v>
      </c>
      <c r="D59" s="878">
        <v>1</v>
      </c>
      <c r="E59" s="878">
        <v>1.5</v>
      </c>
      <c r="F59" s="878">
        <v>2</v>
      </c>
      <c r="G59" s="878">
        <v>2</v>
      </c>
      <c r="H59" s="877" t="s">
        <v>411</v>
      </c>
      <c r="I59" s="191"/>
    </row>
    <row r="60" spans="1:9">
      <c r="B60" s="67" t="s">
        <v>412</v>
      </c>
      <c r="D60" s="769">
        <v>6.0000000000000001E-3</v>
      </c>
      <c r="E60" s="769">
        <v>7.4999999999999997E-3</v>
      </c>
      <c r="F60" s="769">
        <v>6.0000000000000001E-3</v>
      </c>
      <c r="G60" s="769">
        <v>6.0000000000000001E-3</v>
      </c>
      <c r="H60" s="876" t="s">
        <v>407</v>
      </c>
    </row>
    <row r="61" spans="1:9">
      <c r="B61" s="67" t="s">
        <v>413</v>
      </c>
      <c r="D61" s="769">
        <v>1E-3</v>
      </c>
      <c r="E61" s="769">
        <v>1E-3</v>
      </c>
      <c r="F61" s="769">
        <v>1E-3</v>
      </c>
      <c r="G61" s="769">
        <v>1E-3</v>
      </c>
      <c r="H61" s="876" t="s">
        <v>407</v>
      </c>
    </row>
    <row r="62" spans="1:9" ht="13">
      <c r="B62" s="67" t="s">
        <v>414</v>
      </c>
      <c r="D62" s="878">
        <v>1</v>
      </c>
      <c r="E62" s="878">
        <v>1.1000000000000001</v>
      </c>
      <c r="F62" s="878">
        <v>1.2</v>
      </c>
      <c r="G62" s="878">
        <v>1.4</v>
      </c>
      <c r="H62" s="877" t="s">
        <v>411</v>
      </c>
    </row>
    <row r="63" spans="1:9">
      <c r="H63" s="39"/>
    </row>
  </sheetData>
  <mergeCells count="1">
    <mergeCell ref="C8:G8"/>
  </mergeCells>
  <pageMargins left="0.7" right="0.7" top="0.75" bottom="0.75" header="0.3" footer="0.3"/>
  <customProperties>
    <customPr name="OrphanNamesChecke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B293-DEB5-4B30-BA8F-2F436A61028E}">
  <dimension ref="B2:H51"/>
  <sheetViews>
    <sheetView showGridLines="0" zoomScale="70" zoomScaleNormal="70" workbookViewId="0">
      <pane xSplit="2" ySplit="3" topLeftCell="C14" activePane="bottomRight" state="frozen"/>
      <selection pane="topRight" activeCell="C1" sqref="C1"/>
      <selection pane="bottomLeft" activeCell="A4" sqref="A4"/>
      <selection pane="bottomRight" activeCell="C26" sqref="C26"/>
    </sheetView>
  </sheetViews>
  <sheetFormatPr defaultColWidth="9" defaultRowHeight="12.5"/>
  <cols>
    <col min="1" max="1" width="1.54296875" style="67" customWidth="1"/>
    <col min="2" max="2" width="56.453125" style="67" bestFit="1" customWidth="1"/>
    <col min="3" max="6" width="15.81640625" style="67" customWidth="1"/>
    <col min="7" max="7" width="14.81640625" style="67" customWidth="1"/>
    <col min="8" max="8" width="13" style="67" bestFit="1" customWidth="1"/>
    <col min="9" max="9" width="9" style="67"/>
    <col min="10" max="10" width="19.1796875" style="67" customWidth="1"/>
    <col min="11" max="16384" width="9" style="67"/>
  </cols>
  <sheetData>
    <row r="2" spans="2:7" ht="13">
      <c r="B2" s="54" t="s">
        <v>415</v>
      </c>
    </row>
    <row r="3" spans="2:7" ht="30" customHeight="1">
      <c r="B3" s="362"/>
      <c r="C3" s="532" t="s">
        <v>181</v>
      </c>
      <c r="D3" s="532" t="s">
        <v>182</v>
      </c>
      <c r="E3" s="532" t="s">
        <v>183</v>
      </c>
      <c r="F3" s="532" t="s">
        <v>184</v>
      </c>
      <c r="G3" s="532" t="s">
        <v>416</v>
      </c>
    </row>
    <row r="4" spans="2:7" ht="13">
      <c r="B4" s="976" t="s">
        <v>417</v>
      </c>
    </row>
    <row r="5" spans="2:7">
      <c r="B5" s="67" t="s">
        <v>418</v>
      </c>
      <c r="C5" s="67">
        <v>4</v>
      </c>
      <c r="D5" s="67">
        <v>8</v>
      </c>
      <c r="E5" s="67">
        <v>10</v>
      </c>
      <c r="F5" s="67">
        <v>10</v>
      </c>
    </row>
    <row r="6" spans="2:7">
      <c r="B6" s="67" t="s">
        <v>419</v>
      </c>
    </row>
    <row r="7" spans="2:7">
      <c r="B7" s="67" t="s">
        <v>420</v>
      </c>
      <c r="C7" s="166">
        <f>6000*100</f>
        <v>600000</v>
      </c>
      <c r="D7" s="166">
        <f>C7*(100%+$G7)</f>
        <v>630000</v>
      </c>
      <c r="E7" s="166">
        <f>D7*(100%+$G7)</f>
        <v>661500</v>
      </c>
      <c r="F7" s="166">
        <f>E7*(100%+$G7)</f>
        <v>694575</v>
      </c>
      <c r="G7" s="155">
        <v>0.05</v>
      </c>
    </row>
    <row r="8" spans="2:7">
      <c r="B8" s="67" t="s">
        <v>421</v>
      </c>
      <c r="C8" s="166">
        <f>3000*100</f>
        <v>300000</v>
      </c>
      <c r="D8" s="166">
        <f t="shared" ref="D8:E10" si="0">C8*(100%+$G8)</f>
        <v>345000</v>
      </c>
      <c r="E8" s="166">
        <f t="shared" si="0"/>
        <v>396749.99999999994</v>
      </c>
      <c r="F8" s="166">
        <f t="shared" ref="F8" si="1">E8*(100%+$G8)</f>
        <v>456262.49999999988</v>
      </c>
      <c r="G8" s="155">
        <v>0.15</v>
      </c>
    </row>
    <row r="9" spans="2:7">
      <c r="B9" s="67" t="s">
        <v>422</v>
      </c>
      <c r="C9" s="166">
        <f>300*300</f>
        <v>90000</v>
      </c>
      <c r="D9" s="166">
        <f t="shared" si="0"/>
        <v>96300</v>
      </c>
      <c r="E9" s="166">
        <f t="shared" si="0"/>
        <v>103041</v>
      </c>
      <c r="F9" s="166">
        <f t="shared" ref="F9" si="2">E9*(100%+$G9)</f>
        <v>110253.87000000001</v>
      </c>
      <c r="G9" s="155">
        <v>7.0000000000000007E-2</v>
      </c>
    </row>
    <row r="10" spans="2:7">
      <c r="B10" s="67" t="s">
        <v>423</v>
      </c>
      <c r="C10" s="166">
        <f>25000*5</f>
        <v>125000</v>
      </c>
      <c r="D10" s="166">
        <f t="shared" si="0"/>
        <v>143750</v>
      </c>
      <c r="E10" s="166">
        <f t="shared" si="0"/>
        <v>165312.5</v>
      </c>
      <c r="F10" s="166">
        <f t="shared" ref="F10" si="3">E10*(100%+$G10)</f>
        <v>190109.37499999997</v>
      </c>
      <c r="G10" s="155">
        <v>0.15</v>
      </c>
    </row>
    <row r="11" spans="2:7" ht="13">
      <c r="B11" s="482" t="s">
        <v>424</v>
      </c>
      <c r="C11" s="700">
        <f>SUM(C7:C10)</f>
        <v>1115000</v>
      </c>
      <c r="D11" s="700">
        <f>SUM(D7:D10)</f>
        <v>1215050</v>
      </c>
      <c r="E11" s="700">
        <f>SUM(E7:E10)</f>
        <v>1326603.5</v>
      </c>
      <c r="F11" s="700">
        <f>SUM(F7:F10)</f>
        <v>1451200.7450000001</v>
      </c>
    </row>
    <row r="12" spans="2:7" ht="13">
      <c r="B12" s="701" t="s">
        <v>425</v>
      </c>
      <c r="C12" s="702">
        <f>C5*C11</f>
        <v>4460000</v>
      </c>
      <c r="D12" s="702">
        <f>D5*D11</f>
        <v>9720400</v>
      </c>
      <c r="E12" s="702">
        <f>E5*E11</f>
        <v>13266035</v>
      </c>
      <c r="F12" s="702">
        <f>F5*F11</f>
        <v>14512007.450000001</v>
      </c>
    </row>
    <row r="14" spans="2:7" ht="13">
      <c r="B14" s="976" t="s">
        <v>426</v>
      </c>
    </row>
    <row r="15" spans="2:7">
      <c r="B15" s="67" t="s">
        <v>427</v>
      </c>
      <c r="C15" s="166">
        <v>30000</v>
      </c>
      <c r="D15" s="166">
        <f>C15*(100%+$G15)</f>
        <v>34500</v>
      </c>
      <c r="E15" s="166">
        <f>D15*(100%+$G15)</f>
        <v>39675</v>
      </c>
      <c r="F15" s="166">
        <f>E15*(100%+$G15)</f>
        <v>45626.25</v>
      </c>
      <c r="G15" s="155">
        <v>0.15</v>
      </c>
    </row>
    <row r="16" spans="2:7">
      <c r="B16" s="67" t="s">
        <v>428</v>
      </c>
      <c r="C16" s="67">
        <v>10</v>
      </c>
      <c r="D16" s="67">
        <v>15</v>
      </c>
      <c r="E16" s="67">
        <v>25</v>
      </c>
      <c r="F16" s="67">
        <v>30</v>
      </c>
    </row>
    <row r="17" spans="2:8" ht="13">
      <c r="B17" s="701" t="s">
        <v>429</v>
      </c>
      <c r="C17" s="702">
        <f>C15*C16</f>
        <v>300000</v>
      </c>
      <c r="D17" s="702">
        <f>D15*D16</f>
        <v>517500</v>
      </c>
      <c r="E17" s="702">
        <f>E15*E16</f>
        <v>991875</v>
      </c>
      <c r="F17" s="702">
        <f>F15*F16</f>
        <v>1368787.5</v>
      </c>
    </row>
    <row r="19" spans="2:8" ht="13">
      <c r="B19" s="976" t="s">
        <v>430</v>
      </c>
    </row>
    <row r="20" spans="2:8">
      <c r="B20" s="67" t="s">
        <v>431</v>
      </c>
      <c r="C20" s="166">
        <f>4000*100</f>
        <v>400000</v>
      </c>
      <c r="D20" s="166">
        <f>C20+50000</f>
        <v>450000</v>
      </c>
      <c r="E20" s="166">
        <f>D20+50000</f>
        <v>500000</v>
      </c>
      <c r="F20" s="166">
        <f>E20+50000</f>
        <v>550000</v>
      </c>
    </row>
    <row r="21" spans="2:8">
      <c r="B21" s="67" t="s">
        <v>432</v>
      </c>
      <c r="C21" s="67">
        <v>4</v>
      </c>
      <c r="D21" s="67">
        <v>8</v>
      </c>
      <c r="E21" s="67">
        <v>12</v>
      </c>
      <c r="F21" s="67">
        <v>12</v>
      </c>
    </row>
    <row r="22" spans="2:8" ht="13">
      <c r="B22" s="701" t="s">
        <v>429</v>
      </c>
      <c r="C22" s="702">
        <f>C20*C21</f>
        <v>1600000</v>
      </c>
      <c r="D22" s="702">
        <f>D20*D21</f>
        <v>3600000</v>
      </c>
      <c r="E22" s="702">
        <f>E20*E21</f>
        <v>6000000</v>
      </c>
      <c r="F22" s="702">
        <f>F20*F21</f>
        <v>6600000</v>
      </c>
    </row>
    <row r="23" spans="2:8">
      <c r="C23" s="839"/>
      <c r="D23" s="839"/>
      <c r="E23" s="839"/>
      <c r="F23" s="839"/>
    </row>
    <row r="24" spans="2:8" ht="13">
      <c r="B24" s="976" t="s">
        <v>433</v>
      </c>
    </row>
    <row r="25" spans="2:8">
      <c r="B25" s="67" t="s">
        <v>431</v>
      </c>
      <c r="C25" s="166">
        <f>4000*100</f>
        <v>400000</v>
      </c>
      <c r="D25" s="166">
        <f>C25+50000</f>
        <v>450000</v>
      </c>
      <c r="E25" s="166">
        <f>D25+50000</f>
        <v>500000</v>
      </c>
      <c r="F25" s="166">
        <f>E25+50000</f>
        <v>550000</v>
      </c>
    </row>
    <row r="26" spans="2:8">
      <c r="B26" s="67" t="s">
        <v>434</v>
      </c>
      <c r="C26" s="67">
        <v>6</v>
      </c>
      <c r="D26" s="67">
        <v>10</v>
      </c>
      <c r="E26" s="67">
        <v>12</v>
      </c>
      <c r="F26" s="67">
        <v>15</v>
      </c>
    </row>
    <row r="27" spans="2:8" ht="13">
      <c r="B27" s="701" t="s">
        <v>429</v>
      </c>
      <c r="C27" s="702">
        <f>C25*C26</f>
        <v>2400000</v>
      </c>
      <c r="D27" s="702">
        <f>D25*D26</f>
        <v>4500000</v>
      </c>
      <c r="E27" s="702">
        <f>E25*E26</f>
        <v>6000000</v>
      </c>
      <c r="F27" s="702">
        <f>F25*F26</f>
        <v>8250000</v>
      </c>
    </row>
    <row r="28" spans="2:8">
      <c r="C28" s="839"/>
      <c r="D28" s="839"/>
      <c r="E28" s="839"/>
      <c r="F28" s="839"/>
    </row>
    <row r="30" spans="2:8" ht="13">
      <c r="B30" s="701" t="s">
        <v>435</v>
      </c>
      <c r="C30" s="702">
        <f>SUM(C31:C37)</f>
        <v>11200000</v>
      </c>
      <c r="D30" s="702">
        <f>SUM(D31:D37)</f>
        <v>41000000</v>
      </c>
      <c r="E30" s="702">
        <f>SUM(E31:E37)</f>
        <v>49540000</v>
      </c>
      <c r="F30" s="702">
        <f>SUM(F31:F37)</f>
        <v>60173000</v>
      </c>
      <c r="H30" s="67">
        <v>12</v>
      </c>
    </row>
    <row r="31" spans="2:8">
      <c r="B31" s="67" t="s">
        <v>436</v>
      </c>
      <c r="C31" s="198">
        <f>500000*H30</f>
        <v>6000000</v>
      </c>
      <c r="D31" s="198">
        <f>1500000*H30</f>
        <v>18000000</v>
      </c>
      <c r="E31" s="198">
        <f>D31*(100%+$G31)</f>
        <v>22500000</v>
      </c>
      <c r="F31" s="198">
        <f>E31*(100%+$G31)</f>
        <v>28125000</v>
      </c>
      <c r="G31" s="155">
        <v>0.25</v>
      </c>
      <c r="H31" s="67" t="s">
        <v>437</v>
      </c>
    </row>
    <row r="32" spans="2:8">
      <c r="B32" s="67" t="s">
        <v>438</v>
      </c>
      <c r="C32" s="198">
        <v>0</v>
      </c>
      <c r="D32" s="198">
        <f>500000*H30</f>
        <v>6000000</v>
      </c>
      <c r="E32" s="198">
        <f>D32*(100%+$G32)</f>
        <v>7500000</v>
      </c>
      <c r="F32" s="198">
        <f t="shared" ref="E32:F33" si="4">E32*(100%+$G32)</f>
        <v>9375000</v>
      </c>
      <c r="G32" s="155">
        <v>0.25</v>
      </c>
    </row>
    <row r="33" spans="2:8">
      <c r="B33" s="67" t="s">
        <v>439</v>
      </c>
      <c r="C33" s="198">
        <f>100000*H30</f>
        <v>1200000</v>
      </c>
      <c r="D33" s="198">
        <f>400000*H30</f>
        <v>4800000</v>
      </c>
      <c r="E33" s="198">
        <f t="shared" si="4"/>
        <v>6000000</v>
      </c>
      <c r="F33" s="198">
        <f t="shared" si="4"/>
        <v>7500000</v>
      </c>
      <c r="G33" s="155">
        <v>0.25</v>
      </c>
    </row>
    <row r="34" spans="2:8">
      <c r="B34" s="67" t="s">
        <v>440</v>
      </c>
      <c r="C34" s="198">
        <v>0</v>
      </c>
      <c r="D34" s="198">
        <v>6000000</v>
      </c>
      <c r="E34" s="198">
        <v>6000000</v>
      </c>
      <c r="F34" s="198">
        <v>6000000</v>
      </c>
      <c r="G34" s="155"/>
    </row>
    <row r="35" spans="2:8">
      <c r="B35" s="67" t="s">
        <v>441</v>
      </c>
      <c r="C35" s="198">
        <v>1500000</v>
      </c>
      <c r="D35" s="198">
        <v>2000000</v>
      </c>
      <c r="E35" s="198">
        <f>D35*(100%+$G35)</f>
        <v>2500000</v>
      </c>
      <c r="F35" s="198">
        <f t="shared" ref="F35" si="5">E35*(100%+$G35)</f>
        <v>3125000</v>
      </c>
      <c r="G35" s="155">
        <v>0.25</v>
      </c>
    </row>
    <row r="36" spans="2:8">
      <c r="B36" s="67" t="s">
        <v>442</v>
      </c>
      <c r="C36" s="198">
        <v>1500000</v>
      </c>
      <c r="D36" s="198">
        <v>2400000</v>
      </c>
      <c r="E36" s="198">
        <f t="shared" ref="E36:F37" si="6">D36*1.2</f>
        <v>2880000</v>
      </c>
      <c r="F36" s="198">
        <f t="shared" si="6"/>
        <v>3456000</v>
      </c>
      <c r="G36" s="155"/>
      <c r="H36" s="67" t="s">
        <v>443</v>
      </c>
    </row>
    <row r="37" spans="2:8">
      <c r="B37" s="67" t="s">
        <v>444</v>
      </c>
      <c r="C37" s="198">
        <v>1000000</v>
      </c>
      <c r="D37" s="198">
        <v>1800000</v>
      </c>
      <c r="E37" s="198">
        <f t="shared" si="6"/>
        <v>2160000</v>
      </c>
      <c r="F37" s="198">
        <f t="shared" si="6"/>
        <v>2592000</v>
      </c>
      <c r="G37" s="155"/>
    </row>
    <row r="39" spans="2:8" ht="13">
      <c r="B39" s="701" t="s">
        <v>445</v>
      </c>
      <c r="C39" s="702">
        <f>SUM(C40:C44)</f>
        <v>3500000</v>
      </c>
      <c r="D39" s="702">
        <f t="shared" ref="D39:F39" si="7">SUM(D40:D44)</f>
        <v>50500000</v>
      </c>
      <c r="E39" s="702">
        <f t="shared" si="7"/>
        <v>58550000</v>
      </c>
      <c r="F39" s="702">
        <f t="shared" si="7"/>
        <v>61655000</v>
      </c>
    </row>
    <row r="40" spans="2:8">
      <c r="B40" s="67" t="s">
        <v>446</v>
      </c>
      <c r="C40" s="166">
        <v>2000000</v>
      </c>
      <c r="D40" s="166">
        <f>C40*(100%+$G40)</f>
        <v>2200000</v>
      </c>
      <c r="E40" s="166">
        <f>D40*(100%+$G40)</f>
        <v>2420000</v>
      </c>
      <c r="F40" s="166">
        <f>E40*(100%+$G40)</f>
        <v>2662000</v>
      </c>
      <c r="G40" s="155">
        <v>0.1</v>
      </c>
    </row>
    <row r="41" spans="2:8">
      <c r="B41" s="67" t="s">
        <v>447</v>
      </c>
      <c r="C41" s="166">
        <v>1500000</v>
      </c>
      <c r="D41" s="166">
        <f>500*550*12</f>
        <v>3300000</v>
      </c>
      <c r="E41" s="166">
        <f t="shared" ref="E41:F41" si="8">D41*(100%+$G41)</f>
        <v>3630000.0000000005</v>
      </c>
      <c r="F41" s="166">
        <f t="shared" si="8"/>
        <v>3993000.0000000009</v>
      </c>
      <c r="G41" s="155">
        <v>0.1</v>
      </c>
      <c r="H41" s="166"/>
    </row>
    <row r="42" spans="2:8">
      <c r="B42" s="67" t="s">
        <v>448</v>
      </c>
      <c r="C42" s="198">
        <v>0</v>
      </c>
      <c r="D42" s="198">
        <v>15000000</v>
      </c>
      <c r="E42" s="198">
        <v>15000000</v>
      </c>
      <c r="F42" s="198">
        <v>15000000</v>
      </c>
      <c r="G42" s="155">
        <v>0</v>
      </c>
    </row>
    <row r="43" spans="2:8">
      <c r="B43" s="67" t="s">
        <v>449</v>
      </c>
      <c r="C43" s="198">
        <v>0</v>
      </c>
      <c r="D43" s="198">
        <v>25000000</v>
      </c>
      <c r="E43" s="198">
        <v>30000000</v>
      </c>
      <c r="F43" s="198">
        <v>30000000</v>
      </c>
      <c r="G43" s="155">
        <v>0</v>
      </c>
    </row>
    <row r="44" spans="2:8">
      <c r="B44" s="67" t="s">
        <v>450</v>
      </c>
      <c r="C44" s="198">
        <v>0</v>
      </c>
      <c r="D44" s="198">
        <v>5000000</v>
      </c>
      <c r="E44" s="198">
        <v>7500000</v>
      </c>
      <c r="F44" s="198">
        <v>10000000</v>
      </c>
      <c r="G44" s="155">
        <v>0</v>
      </c>
    </row>
    <row r="46" spans="2:8" ht="13.5" thickBot="1">
      <c r="B46" s="378" t="s">
        <v>451</v>
      </c>
      <c r="C46" s="638">
        <f>C12+C17+C22+C27+C30+C39</f>
        <v>23460000</v>
      </c>
      <c r="D46" s="638">
        <f t="shared" ref="D46:F46" si="9">D12+D17+D22+D27+D30+D39</f>
        <v>109837900</v>
      </c>
      <c r="E46" s="638">
        <f t="shared" si="9"/>
        <v>134347910</v>
      </c>
      <c r="F46" s="638">
        <f t="shared" si="9"/>
        <v>152558794.94999999</v>
      </c>
    </row>
    <row r="47" spans="2:8" ht="13" thickTop="1"/>
    <row r="48" spans="2:8">
      <c r="B48" s="67" t="s">
        <v>249</v>
      </c>
      <c r="C48" s="746">
        <f>'P&amp;L'!F10*10^7</f>
        <v>3028934922.5574002</v>
      </c>
      <c r="D48" s="746">
        <f>'P&amp;L'!G10*10^7</f>
        <v>4427794812.0116482</v>
      </c>
      <c r="E48" s="746">
        <f>'P&amp;L'!H10*10^7</f>
        <v>6571359593.0321817</v>
      </c>
      <c r="F48" s="746">
        <f>'P&amp;L'!I10*10^7</f>
        <v>9514623486.9308167</v>
      </c>
    </row>
    <row r="49" spans="2:6">
      <c r="B49" s="67" t="s">
        <v>452</v>
      </c>
      <c r="C49" s="723">
        <f>C46/C48</f>
        <v>7.7452968121851148E-3</v>
      </c>
      <c r="D49" s="723">
        <f>D46/D48</f>
        <v>2.4806456636615945E-2</v>
      </c>
      <c r="E49" s="723">
        <f>E46/E48</f>
        <v>2.0444461773550377E-2</v>
      </c>
      <c r="F49" s="723">
        <f>F46/F48</f>
        <v>1.6034138939870095E-2</v>
      </c>
    </row>
    <row r="51" spans="2:6">
      <c r="C51" s="166"/>
      <c r="D51" s="166"/>
    </row>
  </sheetData>
  <pageMargins left="0.7" right="0.7" top="0.75" bottom="0.75" header="0.3" footer="0.3"/>
  <customProperties>
    <customPr name="OrphanNamesChecke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DF45-CC17-432F-8D99-DA8697A223CA}">
  <dimension ref="A1:U93"/>
  <sheetViews>
    <sheetView showGridLines="0" zoomScale="80" zoomScaleNormal="80" workbookViewId="0">
      <pane xSplit="3" ySplit="2" topLeftCell="D10" activePane="bottomRight" state="frozen"/>
      <selection pane="topRight" activeCell="D1" sqref="D1"/>
      <selection pane="bottomLeft" activeCell="A3" sqref="A3"/>
      <selection pane="bottomRight" activeCell="K20" sqref="K20"/>
    </sheetView>
  </sheetViews>
  <sheetFormatPr defaultColWidth="8.81640625" defaultRowHeight="13"/>
  <cols>
    <col min="1" max="1" width="8.81640625" style="67"/>
    <col min="2" max="2" width="15.81640625" style="54" customWidth="1"/>
    <col min="3" max="3" width="21.81640625" style="67" bestFit="1" customWidth="1"/>
    <col min="4" max="4" width="10.1796875" style="67" customWidth="1"/>
    <col min="5" max="5" width="14.54296875" style="67" customWidth="1"/>
    <col min="6" max="6" width="12.54296875" style="67" customWidth="1"/>
    <col min="7" max="7" width="8.453125" style="67" bestFit="1" customWidth="1"/>
    <col min="8" max="11" width="15.54296875" style="67" bestFit="1" customWidth="1"/>
    <col min="12" max="12" width="63.54296875" style="67" customWidth="1"/>
    <col min="13" max="16384" width="8.81640625" style="67"/>
  </cols>
  <sheetData>
    <row r="1" spans="2:18">
      <c r="B1" s="926" t="s">
        <v>344</v>
      </c>
      <c r="C1" s="927"/>
      <c r="D1" s="927"/>
      <c r="E1" s="927"/>
      <c r="F1" s="927"/>
      <c r="G1" s="927"/>
      <c r="H1" s="927"/>
      <c r="I1" s="927"/>
      <c r="J1" s="927"/>
      <c r="K1" s="927"/>
      <c r="M1" s="312">
        <v>365</v>
      </c>
    </row>
    <row r="2" spans="2:18">
      <c r="B2" s="479"/>
    </row>
    <row r="3" spans="2:18">
      <c r="B3" s="480" t="s">
        <v>345</v>
      </c>
      <c r="C3" s="481"/>
      <c r="D3" s="481"/>
      <c r="E3" s="482">
        <v>2022</v>
      </c>
      <c r="F3" s="482">
        <v>2023</v>
      </c>
      <c r="G3" s="483">
        <v>2024</v>
      </c>
      <c r="H3" s="484">
        <f>G3+1</f>
        <v>2025</v>
      </c>
      <c r="I3" s="484">
        <f t="shared" ref="I3:K3" si="0">H3+1</f>
        <v>2026</v>
      </c>
      <c r="J3" s="484">
        <f t="shared" si="0"/>
        <v>2027</v>
      </c>
      <c r="K3" s="485">
        <f t="shared" si="0"/>
        <v>2028</v>
      </c>
    </row>
    <row r="4" spans="2:18" ht="12.5">
      <c r="B4" s="486" t="s">
        <v>150</v>
      </c>
      <c r="E4" s="487">
        <f>'P&amp;L'!C5</f>
        <v>50.106043</v>
      </c>
      <c r="F4" s="488">
        <f>'P&amp;L'!D5</f>
        <v>51.9249182</v>
      </c>
      <c r="G4" s="489">
        <f>'P&amp;L'!E5</f>
        <v>151.405010527</v>
      </c>
      <c r="H4" s="488">
        <f>'P&amp;L'!F5</f>
        <v>301.83099225574</v>
      </c>
      <c r="I4" s="488">
        <f>'P&amp;L'!G5</f>
        <v>441.49048120116481</v>
      </c>
      <c r="J4" s="488">
        <f>'P&amp;L'!H5</f>
        <v>655.55195930321827</v>
      </c>
      <c r="K4" s="490">
        <f>'P&amp;L'!I5</f>
        <v>949.38884869308163</v>
      </c>
    </row>
    <row r="5" spans="2:18" ht="12.5">
      <c r="B5" s="486" t="s">
        <v>151</v>
      </c>
      <c r="E5" s="491">
        <f>'P&amp;L'!C6</f>
        <v>1.4371970000000001</v>
      </c>
      <c r="F5" s="492">
        <f>'P&amp;L'!D6</f>
        <v>0.95658609999999999</v>
      </c>
      <c r="G5" s="493">
        <f>'P&amp;L'!E6</f>
        <v>5.5343662000000002E-2</v>
      </c>
      <c r="H5" s="492">
        <f>'P&amp;L'!F6</f>
        <v>1.0625</v>
      </c>
      <c r="I5" s="492">
        <f>'P&amp;L'!G6</f>
        <v>1.2889999999999999</v>
      </c>
      <c r="J5" s="492">
        <f>'P&amp;L'!H6</f>
        <v>1.5840000000000001</v>
      </c>
      <c r="K5" s="494">
        <f>'P&amp;L'!I6</f>
        <v>2.0735000000000001</v>
      </c>
    </row>
    <row r="6" spans="2:18" ht="12.5">
      <c r="B6" s="486"/>
      <c r="E6" s="491"/>
      <c r="F6" s="492"/>
      <c r="G6" s="493"/>
      <c r="H6" s="492"/>
      <c r="I6" s="492"/>
      <c r="J6" s="492"/>
      <c r="K6" s="494"/>
    </row>
    <row r="7" spans="2:18" ht="12.5">
      <c r="B7" s="486" t="s">
        <v>156</v>
      </c>
      <c r="E7" s="491">
        <f>'P&amp;L'!C12</f>
        <v>40.273494999999997</v>
      </c>
      <c r="F7" s="492">
        <f>'P&amp;L'!D12</f>
        <v>43.914047799999999</v>
      </c>
      <c r="G7" s="493">
        <f>'P&amp;L'!E12</f>
        <v>135.550646255</v>
      </c>
      <c r="H7" s="492">
        <f>'P&amp;L'!F12</f>
        <v>0</v>
      </c>
      <c r="I7" s="492">
        <f>'P&amp;L'!G12</f>
        <v>0</v>
      </c>
      <c r="J7" s="492">
        <f>'P&amp;L'!H12</f>
        <v>0</v>
      </c>
      <c r="K7" s="494">
        <f>'P&amp;L'!I12</f>
        <v>0</v>
      </c>
    </row>
    <row r="8" spans="2:18" ht="12.5">
      <c r="B8" s="486" t="s">
        <v>157</v>
      </c>
      <c r="E8" s="491">
        <f>'P&amp;L'!C13</f>
        <v>0.26966899999999999</v>
      </c>
      <c r="F8" s="492">
        <f>'P&amp;L'!D13</f>
        <v>-1.5948982</v>
      </c>
      <c r="G8" s="493">
        <f>'P&amp;L'!E13</f>
        <v>-12.261650835999999</v>
      </c>
      <c r="H8" s="492">
        <f>'P&amp;L'!F13</f>
        <v>0</v>
      </c>
      <c r="I8" s="492">
        <f>'P&amp;L'!G13</f>
        <v>0</v>
      </c>
      <c r="J8" s="492">
        <f>'P&amp;L'!H13</f>
        <v>0</v>
      </c>
      <c r="K8" s="494">
        <f>'P&amp;L'!I13</f>
        <v>0</v>
      </c>
    </row>
    <row r="9" spans="2:18" ht="12.5">
      <c r="B9" s="495" t="s">
        <v>346</v>
      </c>
      <c r="C9" s="362"/>
      <c r="D9" s="362"/>
      <c r="E9" s="496">
        <f>'P&amp;L'!C14</f>
        <v>40.543163999999997</v>
      </c>
      <c r="F9" s="497">
        <f>'P&amp;L'!D14</f>
        <v>42.319149599999996</v>
      </c>
      <c r="G9" s="498">
        <f>'P&amp;L'!E14</f>
        <v>123.288995419</v>
      </c>
      <c r="H9" s="497">
        <f>SUM(H4:H5)*80%</f>
        <v>242.314793804592</v>
      </c>
      <c r="I9" s="497">
        <f t="shared" ref="I9:K9" si="1">SUM(I4:I5)*80%</f>
        <v>354.22358496093187</v>
      </c>
      <c r="J9" s="497">
        <f t="shared" si="1"/>
        <v>525.70876744257464</v>
      </c>
      <c r="K9" s="925">
        <f t="shared" si="1"/>
        <v>761.16987895446528</v>
      </c>
    </row>
    <row r="10" spans="2:18">
      <c r="E10" s="54"/>
      <c r="F10" s="54"/>
      <c r="G10" s="499"/>
      <c r="H10" s="500"/>
      <c r="I10" s="500"/>
      <c r="J10" s="500"/>
      <c r="K10" s="500"/>
    </row>
    <row r="11" spans="2:18">
      <c r="B11" s="501" t="s">
        <v>347</v>
      </c>
      <c r="C11" s="362"/>
      <c r="D11" s="362"/>
      <c r="E11" s="67">
        <v>365</v>
      </c>
      <c r="F11" s="54"/>
      <c r="G11" s="499"/>
      <c r="H11" s="500"/>
      <c r="I11" s="500"/>
      <c r="J11" s="500"/>
      <c r="K11" s="500"/>
    </row>
    <row r="12" spans="2:18">
      <c r="B12" s="502"/>
      <c r="E12" s="482">
        <v>2022</v>
      </c>
      <c r="F12" s="482">
        <v>2023</v>
      </c>
      <c r="G12" s="503">
        <v>2024</v>
      </c>
      <c r="H12" s="504">
        <f>G12+1</f>
        <v>2025</v>
      </c>
      <c r="I12" s="504">
        <f>H12+1</f>
        <v>2026</v>
      </c>
      <c r="J12" s="504">
        <f>I12+1</f>
        <v>2027</v>
      </c>
      <c r="K12" s="505">
        <f>J12+1</f>
        <v>2028</v>
      </c>
    </row>
    <row r="13" spans="2:18">
      <c r="B13" s="502"/>
      <c r="E13" s="54"/>
      <c r="F13" s="54"/>
      <c r="G13" s="506"/>
      <c r="H13" s="500"/>
      <c r="I13" s="500"/>
      <c r="J13" s="500"/>
      <c r="K13" s="507"/>
    </row>
    <row r="14" spans="2:18" s="54" customFormat="1">
      <c r="B14" s="502" t="s">
        <v>348</v>
      </c>
      <c r="E14" s="166">
        <f>'Balance Sheet'!C6/('P&amp;L'!C5+'P&amp;L'!C6)*$E$11</f>
        <v>22.55078085894484</v>
      </c>
      <c r="F14" s="166">
        <f>'Balance Sheet'!D6/('P&amp;L'!D5+'P&amp;L'!D6)*$E$11</f>
        <v>26.047949225982968</v>
      </c>
      <c r="G14" s="508">
        <f>'Balance Sheet'!E6/('P&amp;L'!E5+'P&amp;L'!E6)*$E$11</f>
        <v>24.940244433776339</v>
      </c>
      <c r="H14" s="198">
        <v>0</v>
      </c>
      <c r="I14" s="198">
        <v>0</v>
      </c>
      <c r="J14" s="198">
        <v>0</v>
      </c>
      <c r="K14" s="509">
        <v>0</v>
      </c>
      <c r="L14" s="467"/>
      <c r="M14" s="467"/>
      <c r="N14" s="467"/>
      <c r="O14" s="467"/>
      <c r="P14" s="467"/>
      <c r="Q14" s="467"/>
      <c r="R14" s="467"/>
    </row>
    <row r="15" spans="2:18" ht="12.5">
      <c r="B15" s="468" t="s">
        <v>349</v>
      </c>
      <c r="C15" s="469"/>
      <c r="D15" s="469"/>
      <c r="E15" s="470">
        <f>'Balance Sheet'!C7/'P&amp;L'!C5*$E$11</f>
        <v>0</v>
      </c>
      <c r="F15" s="470">
        <f>'Balance Sheet'!D7/'P&amp;L'!D5*$E$11</f>
        <v>0</v>
      </c>
      <c r="G15" s="471">
        <f>F15</f>
        <v>0</v>
      </c>
      <c r="H15" s="472">
        <v>30</v>
      </c>
      <c r="I15" s="472">
        <f t="shared" ref="G15:K16" si="2">H15</f>
        <v>30</v>
      </c>
      <c r="J15" s="472">
        <f t="shared" si="2"/>
        <v>30</v>
      </c>
      <c r="K15" s="473">
        <f t="shared" si="2"/>
        <v>30</v>
      </c>
      <c r="L15" s="227" t="s">
        <v>350</v>
      </c>
    </row>
    <row r="16" spans="2:18" ht="12.5">
      <c r="B16" s="474" t="s">
        <v>351</v>
      </c>
      <c r="C16" s="475"/>
      <c r="D16" s="475"/>
      <c r="E16" s="470">
        <f>'Balance Sheet'!C8/'P&amp;L'!C6*$E$11</f>
        <v>0</v>
      </c>
      <c r="F16" s="470">
        <f>'Balance Sheet'!D8/'P&amp;L'!D6*$E$11</f>
        <v>0</v>
      </c>
      <c r="G16" s="471">
        <f t="shared" si="2"/>
        <v>0</v>
      </c>
      <c r="H16" s="472">
        <v>15</v>
      </c>
      <c r="I16" s="472">
        <f t="shared" si="2"/>
        <v>15</v>
      </c>
      <c r="J16" s="472">
        <f t="shared" si="2"/>
        <v>15</v>
      </c>
      <c r="K16" s="473">
        <f t="shared" si="2"/>
        <v>15</v>
      </c>
      <c r="L16" s="227" t="s">
        <v>352</v>
      </c>
    </row>
    <row r="17" spans="1:21">
      <c r="B17" s="502"/>
      <c r="G17" s="318"/>
      <c r="K17" s="148"/>
    </row>
    <row r="18" spans="1:21">
      <c r="B18" s="502" t="s">
        <v>353</v>
      </c>
      <c r="E18" s="492">
        <f>'Balance Sheet'!C23/E9*'WC Schedule'!$E$11</f>
        <v>14.18324862361507</v>
      </c>
      <c r="F18" s="492">
        <f>'Balance Sheet'!D23/F9*'WC Schedule'!$E$11</f>
        <v>9.2229867019823111</v>
      </c>
      <c r="G18" s="493">
        <f>'Balance Sheet'!E23/G9*'WC Schedule'!$E$11</f>
        <v>21.40662479267208</v>
      </c>
      <c r="H18" s="198">
        <v>0</v>
      </c>
      <c r="I18" s="198">
        <f>H18</f>
        <v>0</v>
      </c>
      <c r="J18" s="198">
        <f>I18</f>
        <v>0</v>
      </c>
      <c r="K18" s="509">
        <f>J18</f>
        <v>0</v>
      </c>
      <c r="L18" s="227" t="s">
        <v>354</v>
      </c>
      <c r="M18" s="227"/>
      <c r="N18" s="227"/>
      <c r="O18" s="227"/>
      <c r="P18" s="227"/>
      <c r="Q18" s="227"/>
      <c r="R18" s="227"/>
      <c r="S18" s="227"/>
      <c r="T18" s="227"/>
      <c r="U18" s="227"/>
    </row>
    <row r="19" spans="1:21">
      <c r="B19" s="502"/>
      <c r="G19" s="318"/>
      <c r="K19" s="148"/>
      <c r="L19" s="227"/>
      <c r="M19" s="227"/>
      <c r="N19" s="227"/>
      <c r="O19" s="227"/>
      <c r="P19" s="227"/>
      <c r="Q19" s="227"/>
      <c r="R19" s="227"/>
      <c r="S19" s="227"/>
      <c r="T19" s="227"/>
      <c r="U19" s="227"/>
    </row>
    <row r="20" spans="1:21" ht="39.75" customHeight="1">
      <c r="B20" s="502" t="s">
        <v>189</v>
      </c>
      <c r="E20" s="376">
        <f>'Balance Sheet'!C9/E9*$E$11</f>
        <v>8.927289690562878</v>
      </c>
      <c r="F20" s="376">
        <f>AVERAGE('Balance Sheet'!C9:D9)/F9*$E$11</f>
        <v>15.430589335377382</v>
      </c>
      <c r="G20" s="334">
        <f>AVERAGE('Balance Sheet'!D9:E9)/G9*$E$11</f>
        <v>25.807895874538453</v>
      </c>
      <c r="H20" s="198">
        <v>50</v>
      </c>
      <c r="I20" s="198">
        <v>50</v>
      </c>
      <c r="J20" s="198">
        <v>50</v>
      </c>
      <c r="K20" s="509">
        <v>50</v>
      </c>
      <c r="L20" s="1046" t="s">
        <v>694</v>
      </c>
      <c r="M20" s="1046"/>
      <c r="N20" s="1046"/>
    </row>
    <row r="21" spans="1:21" s="476" customFormat="1">
      <c r="A21" s="510"/>
      <c r="B21" s="511"/>
      <c r="C21" s="512"/>
      <c r="D21" s="512"/>
      <c r="E21" s="513"/>
      <c r="F21" s="513"/>
      <c r="G21" s="514"/>
      <c r="H21" s="512"/>
      <c r="I21" s="512"/>
      <c r="J21" s="512"/>
      <c r="K21" s="515"/>
    </row>
    <row r="22" spans="1:21">
      <c r="E22" s="227"/>
      <c r="F22" s="227"/>
    </row>
    <row r="23" spans="1:21">
      <c r="B23" s="516" t="s">
        <v>355</v>
      </c>
      <c r="K23" s="517" t="s">
        <v>356</v>
      </c>
    </row>
    <row r="24" spans="1:21">
      <c r="B24" s="518"/>
      <c r="C24" s="282"/>
      <c r="D24" s="282"/>
      <c r="E24" s="482">
        <v>2022</v>
      </c>
      <c r="F24" s="519">
        <v>2023</v>
      </c>
      <c r="G24" s="503">
        <v>2024</v>
      </c>
      <c r="H24" s="504">
        <f>G24+1</f>
        <v>2025</v>
      </c>
      <c r="I24" s="504">
        <f t="shared" ref="I24:K24" si="3">H24+1</f>
        <v>2026</v>
      </c>
      <c r="J24" s="504">
        <f t="shared" si="3"/>
        <v>2027</v>
      </c>
      <c r="K24" s="505">
        <f t="shared" si="3"/>
        <v>2028</v>
      </c>
    </row>
    <row r="25" spans="1:21">
      <c r="B25" s="502" t="s">
        <v>357</v>
      </c>
      <c r="E25" s="520">
        <f>'Balance Sheet'!C6</f>
        <v>3.1844939999999999</v>
      </c>
      <c r="F25" s="520">
        <f>'Balance Sheet'!D6</f>
        <v>3.7738486</v>
      </c>
      <c r="G25" s="521">
        <f>'Balance Sheet'!E6</f>
        <v>10.349200700000001</v>
      </c>
      <c r="H25" s="523">
        <f>SUM(H26:H27)</f>
        <v>22.3275787088429</v>
      </c>
      <c r="I25" s="523">
        <f>SUM(I26:I27)</f>
        <v>32.65003245857919</v>
      </c>
      <c r="J25" s="523">
        <f>SUM(J26:J27)</f>
        <v>48.469945852646369</v>
      </c>
      <c r="K25" s="1005">
        <f>SUM(K26:K27)</f>
        <v>70.188319589546097</v>
      </c>
    </row>
    <row r="26" spans="1:21">
      <c r="B26" s="522" t="s">
        <v>358</v>
      </c>
      <c r="E26" s="520">
        <f>'Balance Sheet'!C7</f>
        <v>0</v>
      </c>
      <c r="F26" s="520">
        <f>'Balance Sheet'!D7</f>
        <v>0</v>
      </c>
      <c r="G26" s="521">
        <f t="shared" ref="G26:J27" si="4">G4*G15/$E$11</f>
        <v>0</v>
      </c>
      <c r="H26" s="523">
        <f>(H4*H15/$E$11)-H33</f>
        <v>22.283914325281255</v>
      </c>
      <c r="I26" s="523">
        <f>(I4*I15/$E$11)-I33</f>
        <v>32.597059855839461</v>
      </c>
      <c r="J26" s="523">
        <f>(J4*J15/$E$11)-J33</f>
        <v>48.40484996223541</v>
      </c>
      <c r="K26" s="929">
        <f>(K4*K15/$E$11)-K33</f>
        <v>70.10310726077897</v>
      </c>
    </row>
    <row r="27" spans="1:21">
      <c r="B27" s="522" t="s">
        <v>188</v>
      </c>
      <c r="E27" s="520">
        <f>'Balance Sheet'!C8</f>
        <v>0</v>
      </c>
      <c r="F27" s="520">
        <f>'Balance Sheet'!D8</f>
        <v>0</v>
      </c>
      <c r="G27" s="521">
        <f t="shared" si="4"/>
        <v>0</v>
      </c>
      <c r="H27" s="523">
        <f>H5*H16/$E$11</f>
        <v>4.3664383561643837E-2</v>
      </c>
      <c r="I27" s="523">
        <f t="shared" si="4"/>
        <v>5.2972602739726017E-2</v>
      </c>
      <c r="J27" s="523">
        <f t="shared" si="4"/>
        <v>6.5095890410958909E-2</v>
      </c>
      <c r="K27" s="929">
        <f>(K5*K16/$E$11)</f>
        <v>8.5212328767123299E-2</v>
      </c>
    </row>
    <row r="28" spans="1:21">
      <c r="B28" s="522"/>
      <c r="E28" s="520"/>
      <c r="F28" s="520"/>
      <c r="G28" s="521"/>
      <c r="K28" s="148"/>
    </row>
    <row r="29" spans="1:21">
      <c r="B29" s="502" t="s">
        <v>201</v>
      </c>
      <c r="E29" s="520">
        <f>'Balance Sheet'!C23</f>
        <v>1.5754350000000001</v>
      </c>
      <c r="F29" s="520">
        <f>'Balance Sheet'!D23</f>
        <v>1.0693395999999999</v>
      </c>
      <c r="G29" s="521">
        <v>0</v>
      </c>
      <c r="H29" s="520">
        <f>H9*H18/$E$11</f>
        <v>0</v>
      </c>
      <c r="I29" s="520">
        <f>I9*I18/$E$11</f>
        <v>0</v>
      </c>
      <c r="J29" s="520">
        <f>J9*J18/$E$11</f>
        <v>0</v>
      </c>
      <c r="K29" s="576">
        <f>K9*K18/$E$11</f>
        <v>0</v>
      </c>
    </row>
    <row r="30" spans="1:21">
      <c r="B30" s="502"/>
      <c r="E30" s="520"/>
      <c r="F30" s="520"/>
      <c r="G30" s="521"/>
      <c r="K30" s="148"/>
    </row>
    <row r="31" spans="1:21">
      <c r="B31" s="502" t="str">
        <f>B20</f>
        <v>Inventory</v>
      </c>
      <c r="E31" s="492">
        <f>'Balance Sheet'!C9</f>
        <v>0.991618</v>
      </c>
      <c r="F31" s="492">
        <f>'Balance Sheet'!D9</f>
        <v>2.5865157999999999</v>
      </c>
      <c r="G31" s="493">
        <f>'Balance Sheet'!E9</f>
        <v>14.8481667</v>
      </c>
      <c r="H31" s="839">
        <v>30</v>
      </c>
      <c r="I31" s="839">
        <f>J9*I20/$E$11</f>
        <v>72.014899649667754</v>
      </c>
      <c r="J31" s="839">
        <f t="shared" ref="J31" si="5">K9*J20/$E$11</f>
        <v>104.26984643211853</v>
      </c>
      <c r="K31" s="509">
        <f>K9*K20/$E$11</f>
        <v>104.26984643211853</v>
      </c>
      <c r="L31" s="1008" t="s">
        <v>693</v>
      </c>
    </row>
    <row r="32" spans="1:21">
      <c r="B32" s="502"/>
      <c r="E32" s="520"/>
      <c r="F32" s="520"/>
      <c r="G32" s="521"/>
      <c r="H32" s="839"/>
      <c r="I32" s="839"/>
      <c r="J32" s="839"/>
      <c r="K32" s="509"/>
      <c r="L32" s="477"/>
    </row>
    <row r="33" spans="2:16">
      <c r="B33" s="502" t="s">
        <v>359</v>
      </c>
      <c r="D33" s="311">
        <v>0.1</v>
      </c>
      <c r="E33" s="492">
        <f>'Balance Sheet'!C24</f>
        <v>0.43875600000000003</v>
      </c>
      <c r="F33" s="492">
        <f>'Balance Sheet'!D24</f>
        <v>0.93387569999999998</v>
      </c>
      <c r="G33" s="493">
        <f>'Balance Sheet'!E24</f>
        <v>1.8446254</v>
      </c>
      <c r="H33" s="839">
        <f>$D$33*H37</f>
        <v>2.5241124354645001</v>
      </c>
      <c r="I33" s="839">
        <f t="shared" ref="I33:K33" si="6">$D$33*I37</f>
        <v>3.6898290100097064</v>
      </c>
      <c r="J33" s="839">
        <f t="shared" si="6"/>
        <v>5.4761329941934855</v>
      </c>
      <c r="K33" s="509">
        <f t="shared" si="6"/>
        <v>7.9288529057756811</v>
      </c>
      <c r="L33" s="968" t="s">
        <v>360</v>
      </c>
    </row>
    <row r="34" spans="2:16">
      <c r="B34" s="502"/>
      <c r="D34" s="54"/>
      <c r="E34" s="523"/>
      <c r="F34" s="523"/>
      <c r="G34" s="524"/>
      <c r="H34" s="839"/>
      <c r="I34" s="839"/>
      <c r="J34" s="839"/>
      <c r="K34" s="509"/>
      <c r="L34" s="477"/>
      <c r="M34" s="997"/>
      <c r="N34" s="997"/>
      <c r="O34" s="997"/>
      <c r="P34" s="997"/>
    </row>
    <row r="35" spans="2:16">
      <c r="B35" s="525" t="s">
        <v>361</v>
      </c>
      <c r="C35" s="362"/>
      <c r="D35" s="974">
        <v>0.3</v>
      </c>
      <c r="E35" s="526">
        <f>'Balance Sheet'!C10</f>
        <v>3.4685699999999997</v>
      </c>
      <c r="F35" s="526">
        <f>'Balance Sheet'!D10</f>
        <v>12.067395700000001</v>
      </c>
      <c r="G35" s="527">
        <f>'Balance Sheet'!E10</f>
        <v>4.6949284000000002</v>
      </c>
      <c r="H35" s="930">
        <f>$D$35*I38</f>
        <v>8.8555896240232954</v>
      </c>
      <c r="I35" s="930">
        <f>$D$35*J38</f>
        <v>13.142719186064365</v>
      </c>
      <c r="J35" s="930">
        <f t="shared" ref="J35" si="7">$D$35*K38</f>
        <v>19.029246973861632</v>
      </c>
      <c r="K35" s="931">
        <f>$D$35*K38</f>
        <v>19.029246973861632</v>
      </c>
      <c r="L35" s="968" t="s">
        <v>362</v>
      </c>
      <c r="M35" s="492"/>
      <c r="N35" s="166"/>
      <c r="O35" s="166"/>
      <c r="P35" s="166"/>
    </row>
    <row r="36" spans="2:16">
      <c r="E36" s="520"/>
      <c r="F36" s="520"/>
      <c r="G36" s="831">
        <f>G35/H38</f>
        <v>0.2325039256391136</v>
      </c>
      <c r="L36" s="477"/>
    </row>
    <row r="37" spans="2:16" s="227" customFormat="1">
      <c r="B37" s="467" t="s">
        <v>363</v>
      </c>
      <c r="E37" s="967">
        <f t="shared" ref="E37:G37" si="8">SUM(E4:E5)/12</f>
        <v>4.2952699999999995</v>
      </c>
      <c r="F37" s="967">
        <f t="shared" si="8"/>
        <v>4.4067920250000006</v>
      </c>
      <c r="G37" s="967">
        <f t="shared" si="8"/>
        <v>12.621696182416668</v>
      </c>
      <c r="H37" s="967">
        <f>SUM(H4:H5)/12</f>
        <v>25.241124354644999</v>
      </c>
      <c r="I37" s="967">
        <f t="shared" ref="I37:J37" si="9">SUM(I4:I5)/12</f>
        <v>36.898290100097064</v>
      </c>
      <c r="J37" s="967">
        <f t="shared" si="9"/>
        <v>54.761329941934854</v>
      </c>
      <c r="K37" s="967">
        <f>SUM(K4:K5)/12</f>
        <v>79.288529057756804</v>
      </c>
      <c r="L37" s="966"/>
    </row>
    <row r="38" spans="2:16" s="227" customFormat="1">
      <c r="B38" s="467" t="s">
        <v>364</v>
      </c>
      <c r="E38" s="967"/>
      <c r="F38" s="967"/>
      <c r="G38" s="967"/>
      <c r="H38" s="967">
        <f>H9/12</f>
        <v>20.192899483716001</v>
      </c>
      <c r="I38" s="967">
        <f t="shared" ref="I38:K38" si="10">I9/12</f>
        <v>29.518632080077655</v>
      </c>
      <c r="J38" s="967">
        <f t="shared" si="10"/>
        <v>43.809063953547884</v>
      </c>
      <c r="K38" s="967">
        <f t="shared" si="10"/>
        <v>63.430823246205442</v>
      </c>
      <c r="L38" s="966"/>
    </row>
    <row r="39" spans="2:16">
      <c r="E39" s="520"/>
      <c r="F39" s="520"/>
      <c r="G39" s="831"/>
      <c r="H39" s="772"/>
      <c r="K39" s="574">
        <f>K37-K38</f>
        <v>15.857705811551362</v>
      </c>
      <c r="L39" s="969"/>
    </row>
    <row r="40" spans="2:16">
      <c r="B40" s="926" t="s">
        <v>365</v>
      </c>
      <c r="C40" s="927"/>
      <c r="D40" s="927"/>
      <c r="E40" s="927"/>
      <c r="F40" s="927"/>
      <c r="G40" s="927"/>
      <c r="H40" s="927"/>
      <c r="I40" s="927"/>
      <c r="J40" s="927"/>
      <c r="K40" s="927"/>
    </row>
    <row r="42" spans="2:16">
      <c r="B42" s="480" t="s">
        <v>345</v>
      </c>
      <c r="C42" s="481"/>
      <c r="D42" s="481"/>
      <c r="E42" s="482">
        <v>2022</v>
      </c>
      <c r="F42" s="482">
        <v>2023</v>
      </c>
      <c r="G42" s="483">
        <v>2024</v>
      </c>
      <c r="H42" s="484">
        <f>G42+1</f>
        <v>2025</v>
      </c>
      <c r="I42" s="484">
        <f t="shared" ref="I42" si="11">H42+1</f>
        <v>2026</v>
      </c>
      <c r="J42" s="484">
        <f t="shared" ref="J42" si="12">I42+1</f>
        <v>2027</v>
      </c>
      <c r="K42" s="485">
        <f t="shared" ref="K42" si="13">J42+1</f>
        <v>2028</v>
      </c>
    </row>
    <row r="43" spans="2:16" ht="12.5">
      <c r="B43" s="486" t="s">
        <v>150</v>
      </c>
      <c r="E43" s="487"/>
      <c r="F43" s="488"/>
      <c r="G43" s="489"/>
      <c r="H43" s="488">
        <f>'Manufacturing Setup '!C5</f>
        <v>15</v>
      </c>
      <c r="I43" s="488">
        <f>'Manufacturing Setup '!D5</f>
        <v>180</v>
      </c>
      <c r="J43" s="488">
        <f>'Manufacturing Setup '!E5</f>
        <v>225</v>
      </c>
      <c r="K43" s="490">
        <f>'Manufacturing Setup '!F5</f>
        <v>255</v>
      </c>
    </row>
    <row r="44" spans="2:16" ht="12.5">
      <c r="B44" s="486"/>
      <c r="E44" s="491"/>
      <c r="F44" s="492"/>
      <c r="G44" s="493"/>
      <c r="H44" s="492"/>
      <c r="I44" s="492"/>
      <c r="J44" s="492"/>
      <c r="K44" s="494"/>
    </row>
    <row r="45" spans="2:16" ht="12.5">
      <c r="B45" s="495" t="s">
        <v>346</v>
      </c>
      <c r="C45" s="362"/>
      <c r="D45" s="362"/>
      <c r="E45" s="496"/>
      <c r="F45" s="497"/>
      <c r="G45" s="498"/>
      <c r="H45" s="497">
        <f>'Manufacturing Setup '!C7</f>
        <v>11.700000000000001</v>
      </c>
      <c r="I45" s="497">
        <f>'Manufacturing Setup '!D7</f>
        <v>140.4</v>
      </c>
      <c r="J45" s="497">
        <f>'Manufacturing Setup '!E7</f>
        <v>175.5</v>
      </c>
      <c r="K45" s="925">
        <f>'Manufacturing Setup '!F7</f>
        <v>198.9</v>
      </c>
    </row>
    <row r="49" spans="2:12">
      <c r="B49" s="501" t="s">
        <v>347</v>
      </c>
      <c r="C49" s="362"/>
      <c r="D49" s="362"/>
      <c r="E49" s="67">
        <v>365</v>
      </c>
      <c r="F49" s="54"/>
      <c r="G49" s="499"/>
      <c r="H49" s="500"/>
      <c r="I49" s="500"/>
      <c r="J49" s="500"/>
      <c r="K49" s="500"/>
    </row>
    <row r="50" spans="2:12">
      <c r="B50" s="502"/>
      <c r="E50" s="482">
        <v>2022</v>
      </c>
      <c r="F50" s="482">
        <v>2023</v>
      </c>
      <c r="G50" s="503">
        <v>2024</v>
      </c>
      <c r="H50" s="504">
        <f>G50+1</f>
        <v>2025</v>
      </c>
      <c r="I50" s="504">
        <f>H50+1</f>
        <v>2026</v>
      </c>
      <c r="J50" s="504">
        <f>I50+1</f>
        <v>2027</v>
      </c>
      <c r="K50" s="505">
        <f>J50+1</f>
        <v>2028</v>
      </c>
    </row>
    <row r="51" spans="2:12">
      <c r="B51" s="502"/>
      <c r="E51" s="54"/>
      <c r="F51" s="54"/>
      <c r="G51" s="499"/>
      <c r="H51" s="500"/>
      <c r="I51" s="500"/>
      <c r="J51" s="500"/>
      <c r="K51" s="507"/>
    </row>
    <row r="52" spans="2:12">
      <c r="B52" s="502" t="s">
        <v>348</v>
      </c>
      <c r="C52" s="54"/>
      <c r="D52" s="54"/>
      <c r="E52" s="166"/>
      <c r="F52" s="166"/>
      <c r="G52" s="198"/>
      <c r="H52" s="198">
        <v>30</v>
      </c>
      <c r="I52" s="198">
        <v>30</v>
      </c>
      <c r="J52" s="198">
        <v>30</v>
      </c>
      <c r="K52" s="509">
        <v>30</v>
      </c>
      <c r="L52" s="227" t="s">
        <v>366</v>
      </c>
    </row>
    <row r="53" spans="2:12">
      <c r="B53" s="502" t="s">
        <v>353</v>
      </c>
      <c r="E53" s="492"/>
      <c r="F53" s="492"/>
      <c r="G53" s="839"/>
      <c r="H53" s="198">
        <v>0</v>
      </c>
      <c r="I53" s="198">
        <f>H53</f>
        <v>0</v>
      </c>
      <c r="J53" s="198">
        <f>I53</f>
        <v>0</v>
      </c>
      <c r="K53" s="509">
        <f>J53</f>
        <v>0</v>
      </c>
    </row>
    <row r="54" spans="2:12">
      <c r="B54" s="502" t="s">
        <v>189</v>
      </c>
      <c r="E54" s="376"/>
      <c r="F54" s="376"/>
      <c r="G54" s="376"/>
      <c r="H54" s="198">
        <v>75</v>
      </c>
      <c r="I54" s="198">
        <v>75</v>
      </c>
      <c r="J54" s="198">
        <v>75</v>
      </c>
      <c r="K54" s="509">
        <v>75</v>
      </c>
      <c r="L54" s="227"/>
    </row>
    <row r="55" spans="2:12">
      <c r="B55" s="511"/>
      <c r="C55" s="512"/>
      <c r="D55" s="512"/>
      <c r="E55" s="513"/>
      <c r="F55" s="513"/>
      <c r="G55" s="512"/>
      <c r="H55" s="512"/>
      <c r="I55" s="512"/>
      <c r="J55" s="512"/>
      <c r="K55" s="515"/>
    </row>
    <row r="57" spans="2:12">
      <c r="B57" s="516" t="s">
        <v>355</v>
      </c>
      <c r="K57" s="517" t="s">
        <v>356</v>
      </c>
    </row>
    <row r="58" spans="2:12">
      <c r="B58" s="518"/>
      <c r="C58" s="282"/>
      <c r="D58" s="282"/>
      <c r="E58" s="503">
        <v>2022</v>
      </c>
      <c r="F58" s="503">
        <v>2023</v>
      </c>
      <c r="G58" s="503">
        <v>2024</v>
      </c>
      <c r="H58" s="504">
        <v>2025</v>
      </c>
      <c r="I58" s="504">
        <v>2026</v>
      </c>
      <c r="J58" s="504">
        <v>2027</v>
      </c>
      <c r="K58" s="505">
        <v>2028</v>
      </c>
    </row>
    <row r="59" spans="2:12">
      <c r="B59" s="502" t="s">
        <v>357</v>
      </c>
      <c r="E59" s="520"/>
      <c r="F59" s="520"/>
      <c r="G59" s="520"/>
      <c r="H59" s="523">
        <f>SUM(H60:H61)</f>
        <v>0.73287671232876717</v>
      </c>
      <c r="I59" s="523">
        <f>SUM(I60:I61)</f>
        <v>13.294520547945206</v>
      </c>
      <c r="J59" s="523">
        <f>SUM(J60:J61)</f>
        <v>16.618150684931507</v>
      </c>
      <c r="K59" s="929">
        <f>SUM(K60:K61)</f>
        <v>18.833904109589042</v>
      </c>
    </row>
    <row r="60" spans="2:12">
      <c r="B60" s="522" t="s">
        <v>358</v>
      </c>
      <c r="E60" s="520"/>
      <c r="F60" s="520"/>
      <c r="G60" s="520"/>
      <c r="H60" s="523">
        <f>(H43*H52/$E$11)-H67</f>
        <v>0.73287671232876717</v>
      </c>
      <c r="I60" s="523">
        <f>(I43*I52/$E$11)-I67</f>
        <v>13.294520547945206</v>
      </c>
      <c r="J60" s="523">
        <f>(J43*J52/$E$11)-J67</f>
        <v>16.618150684931507</v>
      </c>
      <c r="K60" s="929">
        <f>(K43*K52/$E$11)-K67</f>
        <v>18.833904109589042</v>
      </c>
    </row>
    <row r="61" spans="2:12">
      <c r="B61" s="522" t="s">
        <v>188</v>
      </c>
      <c r="E61" s="520"/>
      <c r="F61" s="520"/>
      <c r="G61" s="520"/>
      <c r="H61" s="520">
        <v>0</v>
      </c>
      <c r="I61" s="520">
        <v>0</v>
      </c>
      <c r="J61" s="520">
        <v>0</v>
      </c>
      <c r="K61" s="576">
        <v>0</v>
      </c>
    </row>
    <row r="62" spans="2:12">
      <c r="B62" s="522"/>
      <c r="E62" s="520"/>
      <c r="F62" s="520"/>
      <c r="G62" s="520"/>
      <c r="K62" s="148"/>
    </row>
    <row r="63" spans="2:12">
      <c r="B63" s="502" t="s">
        <v>201</v>
      </c>
      <c r="E63" s="520"/>
      <c r="F63" s="520"/>
      <c r="G63" s="520"/>
      <c r="H63" s="520">
        <f>H45*H53/$E$11</f>
        <v>0</v>
      </c>
      <c r="I63" s="520">
        <f t="shared" ref="I63:K63" si="14">I45*I53/$E$11</f>
        <v>0</v>
      </c>
      <c r="J63" s="520">
        <f t="shared" si="14"/>
        <v>0</v>
      </c>
      <c r="K63" s="576">
        <f t="shared" si="14"/>
        <v>0</v>
      </c>
    </row>
    <row r="64" spans="2:12">
      <c r="B64" s="502"/>
      <c r="E64" s="520"/>
      <c r="F64" s="520"/>
      <c r="G64" s="520"/>
      <c r="K64" s="148"/>
    </row>
    <row r="65" spans="2:12">
      <c r="B65" s="502" t="s">
        <v>189</v>
      </c>
      <c r="E65" s="839"/>
      <c r="F65" s="839"/>
      <c r="G65" s="839"/>
      <c r="H65" s="839">
        <v>5</v>
      </c>
      <c r="I65" s="839">
        <f>J45*I54/$E$11</f>
        <v>36.061643835616437</v>
      </c>
      <c r="J65" s="839">
        <f>K45*J54/$E$11</f>
        <v>40.869863013698627</v>
      </c>
      <c r="K65" s="509">
        <f>K45*K54/$E$11</f>
        <v>40.869863013698627</v>
      </c>
    </row>
    <row r="66" spans="2:12">
      <c r="B66" s="502"/>
      <c r="E66" s="520"/>
      <c r="F66" s="520"/>
      <c r="G66" s="520"/>
      <c r="H66" s="839"/>
      <c r="I66" s="839"/>
      <c r="J66" s="839"/>
      <c r="K66" s="509"/>
    </row>
    <row r="67" spans="2:12">
      <c r="B67" s="502" t="s">
        <v>359</v>
      </c>
      <c r="D67" s="311">
        <v>0.1</v>
      </c>
      <c r="E67" s="839"/>
      <c r="F67" s="839"/>
      <c r="G67" s="839"/>
      <c r="H67" s="970">
        <f>$D$67*H71</f>
        <v>0.5</v>
      </c>
      <c r="I67" s="970">
        <f t="shared" ref="I67:J67" si="15">$D$67*I71</f>
        <v>1.5</v>
      </c>
      <c r="J67" s="970">
        <f t="shared" si="15"/>
        <v>1.875</v>
      </c>
      <c r="K67" s="972">
        <f>$D$67*K71</f>
        <v>2.125</v>
      </c>
      <c r="L67" s="968" t="s">
        <v>360</v>
      </c>
    </row>
    <row r="68" spans="2:12">
      <c r="B68" s="502"/>
      <c r="D68" s="54"/>
      <c r="E68" s="523"/>
      <c r="F68" s="523"/>
      <c r="G68" s="523"/>
      <c r="H68" s="970"/>
      <c r="I68" s="970"/>
      <c r="J68" s="970"/>
      <c r="K68" s="972"/>
      <c r="L68" s="477"/>
    </row>
    <row r="69" spans="2:12">
      <c r="B69" s="525" t="s">
        <v>361</v>
      </c>
      <c r="C69" s="362"/>
      <c r="D69" s="974">
        <v>0.3</v>
      </c>
      <c r="E69" s="526"/>
      <c r="F69" s="526"/>
      <c r="G69" s="526"/>
      <c r="H69" s="971">
        <f>$D$69*I72</f>
        <v>3.5100000000000002</v>
      </c>
      <c r="I69" s="971">
        <f t="shared" ref="I69" si="16">$D$69*J72</f>
        <v>4.3875000000000002</v>
      </c>
      <c r="J69" s="971">
        <f>$D$69*K72</f>
        <v>4.9724999999999993</v>
      </c>
      <c r="K69" s="973">
        <f>$D$69*K72</f>
        <v>4.9724999999999993</v>
      </c>
      <c r="L69" s="968" t="s">
        <v>362</v>
      </c>
    </row>
    <row r="71" spans="2:12">
      <c r="B71" s="467" t="s">
        <v>363</v>
      </c>
      <c r="H71" s="574">
        <f>H43/3</f>
        <v>5</v>
      </c>
      <c r="I71" s="574">
        <f>I43/12</f>
        <v>15</v>
      </c>
      <c r="J71" s="574">
        <f t="shared" ref="J71:K71" si="17">J43/12</f>
        <v>18.75</v>
      </c>
      <c r="K71" s="574">
        <f t="shared" si="17"/>
        <v>21.25</v>
      </c>
    </row>
    <row r="72" spans="2:12">
      <c r="B72" s="467" t="s">
        <v>364</v>
      </c>
      <c r="H72" s="574">
        <f>H45/3</f>
        <v>3.9000000000000004</v>
      </c>
      <c r="I72" s="574">
        <f>I45/12</f>
        <v>11.700000000000001</v>
      </c>
      <c r="J72" s="574">
        <f t="shared" ref="J72:K72" si="18">J45/12</f>
        <v>14.625</v>
      </c>
      <c r="K72" s="574">
        <f t="shared" si="18"/>
        <v>16.574999999999999</v>
      </c>
    </row>
    <row r="74" spans="2:12">
      <c r="B74" s="926" t="s">
        <v>367</v>
      </c>
      <c r="C74" s="927"/>
      <c r="D74" s="927"/>
      <c r="E74" s="927"/>
      <c r="F74" s="927"/>
      <c r="G74" s="927"/>
      <c r="H74" s="927"/>
      <c r="I74" s="927"/>
      <c r="J74" s="927"/>
      <c r="K74" s="927"/>
    </row>
    <row r="76" spans="2:12">
      <c r="B76" s="516" t="s">
        <v>355</v>
      </c>
      <c r="K76" s="517" t="s">
        <v>356</v>
      </c>
    </row>
    <row r="77" spans="2:12">
      <c r="B77" s="518"/>
      <c r="C77" s="282"/>
      <c r="D77" s="282"/>
      <c r="E77" s="503">
        <v>2022</v>
      </c>
      <c r="F77" s="503">
        <v>2023</v>
      </c>
      <c r="G77" s="503">
        <v>2024</v>
      </c>
      <c r="H77" s="504">
        <v>2025</v>
      </c>
      <c r="I77" s="504">
        <v>2026</v>
      </c>
      <c r="J77" s="504">
        <v>2027</v>
      </c>
      <c r="K77" s="505">
        <v>2028</v>
      </c>
    </row>
    <row r="78" spans="2:12">
      <c r="B78" s="502" t="s">
        <v>357</v>
      </c>
      <c r="E78" s="520"/>
      <c r="F78" s="520"/>
      <c r="G78" s="520"/>
      <c r="H78" s="523">
        <f>SUM(H25,H59)</f>
        <v>23.060455421171667</v>
      </c>
      <c r="I78" s="523">
        <f>SUM(I25,I59)</f>
        <v>45.944553006524394</v>
      </c>
      <c r="J78" s="523">
        <f>SUM(J25,J59)</f>
        <v>65.088096537577883</v>
      </c>
      <c r="K78" s="929">
        <f>SUM(K25,K59)</f>
        <v>89.022223699135139</v>
      </c>
    </row>
    <row r="79" spans="2:12">
      <c r="B79" s="522" t="s">
        <v>358</v>
      </c>
      <c r="E79" s="520"/>
      <c r="F79" s="520"/>
      <c r="G79" s="520"/>
      <c r="H79" s="523">
        <f t="shared" ref="H79:J80" si="19">SUM(H26,H60)</f>
        <v>23.016791037610023</v>
      </c>
      <c r="I79" s="523">
        <f t="shared" si="19"/>
        <v>45.891580403784666</v>
      </c>
      <c r="J79" s="523">
        <f t="shared" si="19"/>
        <v>65.023000647166924</v>
      </c>
      <c r="K79" s="929">
        <f>SUM(K26,K60)</f>
        <v>88.937011370368012</v>
      </c>
    </row>
    <row r="80" spans="2:12">
      <c r="B80" s="522" t="s">
        <v>188</v>
      </c>
      <c r="E80" s="520"/>
      <c r="F80" s="520"/>
      <c r="G80" s="520"/>
      <c r="H80" s="523">
        <f t="shared" si="19"/>
        <v>4.3664383561643837E-2</v>
      </c>
      <c r="I80" s="523">
        <f t="shared" si="19"/>
        <v>5.2972602739726017E-2</v>
      </c>
      <c r="J80" s="523">
        <f t="shared" si="19"/>
        <v>6.5095890410958909E-2</v>
      </c>
      <c r="K80" s="929">
        <f>SUM(K27,K61)</f>
        <v>8.5212328767123299E-2</v>
      </c>
    </row>
    <row r="81" spans="2:12">
      <c r="B81" s="522"/>
      <c r="E81" s="520"/>
      <c r="F81" s="520"/>
      <c r="G81" s="520"/>
      <c r="K81" s="148"/>
    </row>
    <row r="82" spans="2:12">
      <c r="B82" s="502" t="s">
        <v>201</v>
      </c>
      <c r="E82" s="520"/>
      <c r="F82" s="520"/>
      <c r="G82" s="520"/>
      <c r="H82" s="520">
        <f>SUM(H29,H63)</f>
        <v>0</v>
      </c>
      <c r="I82" s="520">
        <f t="shared" ref="I82:K82" si="20">SUM(I29,I63)</f>
        <v>0</v>
      </c>
      <c r="J82" s="520">
        <f t="shared" si="20"/>
        <v>0</v>
      </c>
      <c r="K82" s="576">
        <f t="shared" si="20"/>
        <v>0</v>
      </c>
    </row>
    <row r="83" spans="2:12">
      <c r="B83" s="502"/>
      <c r="E83" s="520"/>
      <c r="F83" s="520"/>
      <c r="G83" s="520"/>
      <c r="K83" s="148"/>
    </row>
    <row r="84" spans="2:12">
      <c r="B84" s="502" t="s">
        <v>189</v>
      </c>
      <c r="E84" s="839"/>
      <c r="F84" s="839"/>
      <c r="G84" s="839"/>
      <c r="H84" s="839">
        <f>SUM(H31,H65)</f>
        <v>35</v>
      </c>
      <c r="I84" s="839">
        <f>SUM(I31,I65)</f>
        <v>108.07654348528419</v>
      </c>
      <c r="J84" s="839">
        <f>SUM(J31,J65)</f>
        <v>145.13970944581715</v>
      </c>
      <c r="K84" s="509">
        <f>SUM(K31,K65)</f>
        <v>145.13970944581715</v>
      </c>
    </row>
    <row r="85" spans="2:12">
      <c r="B85" s="502"/>
      <c r="E85" s="520"/>
      <c r="F85" s="520"/>
      <c r="G85" s="520"/>
      <c r="H85" s="839"/>
      <c r="I85" s="839"/>
      <c r="J85" s="839"/>
      <c r="K85" s="509"/>
    </row>
    <row r="86" spans="2:12">
      <c r="B86" s="502" t="s">
        <v>359</v>
      </c>
      <c r="D86" s="311">
        <v>0.1</v>
      </c>
      <c r="E86" s="839"/>
      <c r="F86" s="839"/>
      <c r="G86" s="839"/>
      <c r="H86" s="839">
        <f>SUM(H33,H67)</f>
        <v>3.0241124354645001</v>
      </c>
      <c r="I86" s="839">
        <f>SUM(I33,I67)</f>
        <v>5.1898290100097064</v>
      </c>
      <c r="J86" s="839">
        <f>SUM(J33,J67)</f>
        <v>7.3511329941934855</v>
      </c>
      <c r="K86" s="509">
        <f>SUM(K33,K67)</f>
        <v>10.053852905775681</v>
      </c>
      <c r="L86" s="968" t="s">
        <v>360</v>
      </c>
    </row>
    <row r="87" spans="2:12">
      <c r="B87" s="502"/>
      <c r="D87" s="54"/>
      <c r="E87" s="523"/>
      <c r="F87" s="523"/>
      <c r="G87" s="523"/>
      <c r="H87" s="839"/>
      <c r="I87" s="839"/>
      <c r="J87" s="839"/>
      <c r="K87" s="509"/>
      <c r="L87" s="477"/>
    </row>
    <row r="88" spans="2:12">
      <c r="B88" s="525" t="s">
        <v>361</v>
      </c>
      <c r="C88" s="362"/>
      <c r="D88" s="974">
        <v>0.3</v>
      </c>
      <c r="E88" s="526"/>
      <c r="F88" s="526"/>
      <c r="G88" s="526"/>
      <c r="H88" s="930">
        <f>SUM(H35,H69)</f>
        <v>12.365589624023295</v>
      </c>
      <c r="I88" s="930">
        <f>SUM(I35,I69)</f>
        <v>17.530219186064365</v>
      </c>
      <c r="J88" s="930">
        <f>SUM(J35,J69)</f>
        <v>24.001746973861632</v>
      </c>
      <c r="K88" s="931">
        <f>SUM(K35,K69)</f>
        <v>24.001746973861632</v>
      </c>
      <c r="L88" s="968" t="s">
        <v>362</v>
      </c>
    </row>
    <row r="90" spans="2:12" ht="13.5" thickBot="1">
      <c r="B90" s="975" t="s">
        <v>368</v>
      </c>
      <c r="C90" s="106"/>
      <c r="D90" s="106"/>
      <c r="E90" s="106"/>
      <c r="F90" s="106"/>
      <c r="G90" s="106"/>
      <c r="H90" s="978">
        <f>H78+H84+H88-H86-H82</f>
        <v>67.401932609730466</v>
      </c>
      <c r="I90" s="978">
        <f>I78+I84+I88-I86-I82</f>
        <v>166.36148666786323</v>
      </c>
      <c r="J90" s="978">
        <f>J78+J84+J88-J86-J82</f>
        <v>226.87841996306318</v>
      </c>
      <c r="K90" s="978">
        <f>K78+K84+K88-K86-K82</f>
        <v>248.10982721303827</v>
      </c>
    </row>
    <row r="91" spans="2:12" thickTop="1">
      <c r="B91" s="67"/>
    </row>
    <row r="92" spans="2:12">
      <c r="B92" s="1002" t="s">
        <v>369</v>
      </c>
      <c r="C92" s="481"/>
      <c r="D92" s="481"/>
      <c r="E92" s="481"/>
      <c r="F92" s="481"/>
      <c r="G92" s="481"/>
      <c r="H92" s="481"/>
      <c r="I92" s="1003">
        <f>H90-I90</f>
        <v>-98.959554058132767</v>
      </c>
      <c r="J92" s="1003">
        <f>I90-J90</f>
        <v>-60.516933295199948</v>
      </c>
      <c r="K92" s="1003">
        <f>J90-K90</f>
        <v>-21.231407249975092</v>
      </c>
    </row>
    <row r="93" spans="2:12">
      <c r="H93" s="222"/>
      <c r="I93" s="222"/>
      <c r="J93" s="222"/>
      <c r="K93" s="222"/>
    </row>
  </sheetData>
  <mergeCells count="1">
    <mergeCell ref="L20:N20"/>
  </mergeCells>
  <pageMargins left="0.7" right="0.7" top="0.75" bottom="0.75" header="0.3" footer="0.3"/>
  <pageSetup orientation="portrait" verticalDpi="0" r:id="rId1"/>
  <customProperties>
    <customPr name="OrphanNamesChecke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2825-3195-412F-BF88-B88CE07DAA77}">
  <dimension ref="B1:O34"/>
  <sheetViews>
    <sheetView showGridLines="0" topLeftCell="A2" workbookViewId="0">
      <selection activeCell="E5" sqref="E5"/>
    </sheetView>
  </sheetViews>
  <sheetFormatPr defaultColWidth="8.81640625" defaultRowHeight="14.5" outlineLevelRow="1"/>
  <cols>
    <col min="2" max="2" width="41.54296875" bestFit="1" customWidth="1"/>
    <col min="3" max="4" width="10" bestFit="1" customWidth="1"/>
    <col min="5" max="5" width="10.453125" customWidth="1"/>
    <col min="6" max="6" width="10.54296875" customWidth="1"/>
    <col min="7" max="7" width="10.81640625" customWidth="1"/>
    <col min="8" max="8" width="10.54296875" customWidth="1"/>
    <col min="9" max="9" width="10.81640625" customWidth="1"/>
    <col min="10" max="10" width="10.54296875" customWidth="1"/>
    <col min="16" max="16" width="0.54296875" customWidth="1"/>
    <col min="17" max="17" width="10.453125" customWidth="1"/>
    <col min="18" max="19" width="11" customWidth="1"/>
    <col min="20" max="20" width="10.54296875" customWidth="1"/>
    <col min="21" max="21" width="11" customWidth="1"/>
  </cols>
  <sheetData>
    <row r="1" spans="2:15" hidden="1" outlineLevel="1">
      <c r="N1" s="1" t="s">
        <v>145</v>
      </c>
      <c r="O1" s="2">
        <v>72</v>
      </c>
    </row>
    <row r="2" spans="2:15" collapsed="1">
      <c r="H2" s="4"/>
      <c r="J2" s="4" t="s">
        <v>147</v>
      </c>
    </row>
    <row r="3" spans="2:15">
      <c r="B3" s="24" t="s">
        <v>246</v>
      </c>
      <c r="C3" s="5"/>
      <c r="D3" s="5"/>
      <c r="E3" s="5"/>
      <c r="F3" s="5"/>
      <c r="G3" s="5"/>
      <c r="H3" s="5"/>
      <c r="I3" s="5"/>
      <c r="J3" s="5"/>
    </row>
    <row r="4" spans="2:15" ht="24">
      <c r="B4" s="25" t="s">
        <v>142</v>
      </c>
      <c r="C4" s="7" t="str">
        <f>'P&amp;L'!C4</f>
        <v>2022
Historical</v>
      </c>
      <c r="D4" s="7" t="str">
        <f>'P&amp;L'!D4</f>
        <v>2023
Historical</v>
      </c>
      <c r="E4" s="17" t="str">
        <f>'P&amp;L'!E4</f>
        <v>2024
Provisional</v>
      </c>
      <c r="F4" s="7" t="str">
        <f>'P&amp;L'!F4</f>
        <v>2025
Forecasted</v>
      </c>
      <c r="G4" s="7" t="str">
        <f>'P&amp;L'!G4</f>
        <v>2026
Forecasted</v>
      </c>
      <c r="H4" s="7" t="str">
        <f>'P&amp;L'!H4</f>
        <v>2027
Forecasted</v>
      </c>
      <c r="I4" s="7" t="str">
        <f>'P&amp;L'!I4</f>
        <v>2028
Forecasted</v>
      </c>
      <c r="J4" s="7" t="e">
        <f>'P&amp;L'!#REF!</f>
        <v>#REF!</v>
      </c>
    </row>
    <row r="5" spans="2:15">
      <c r="B5" s="26" t="s">
        <v>249</v>
      </c>
      <c r="C5" s="27">
        <f>'P&amp;L'!C10</f>
        <v>52.186612999999994</v>
      </c>
      <c r="D5" s="27">
        <f>'P&amp;L'!D10</f>
        <v>53.734618900000008</v>
      </c>
      <c r="E5" s="28">
        <f>'P&amp;L'!E10</f>
        <v>152.14793010600002</v>
      </c>
      <c r="F5" s="29">
        <f>'P&amp;L'!F10</f>
        <v>302.89349225574</v>
      </c>
      <c r="G5" s="29">
        <f>'P&amp;L'!G10</f>
        <v>442.7794812011648</v>
      </c>
      <c r="H5" s="29">
        <f>'P&amp;L'!H10</f>
        <v>657.13595930321821</v>
      </c>
      <c r="I5" s="29">
        <f>'P&amp;L'!I10</f>
        <v>951.46234869308159</v>
      </c>
      <c r="J5" s="29" t="e">
        <f>'P&amp;L'!#REF!</f>
        <v>#REF!</v>
      </c>
    </row>
    <row r="6" spans="2:15">
      <c r="B6" s="30" t="s">
        <v>250</v>
      </c>
      <c r="C6" s="31" t="e">
        <f>C5/#REF!-1</f>
        <v>#REF!</v>
      </c>
      <c r="D6" s="31">
        <f t="shared" ref="D6:J6" si="0">D5/C5-1</f>
        <v>2.9662892665596408E-2</v>
      </c>
      <c r="E6" s="32">
        <f t="shared" si="0"/>
        <v>1.8314694180514604</v>
      </c>
      <c r="F6" s="33">
        <f t="shared" si="0"/>
        <v>0.99078286536476035</v>
      </c>
      <c r="G6" s="33">
        <f t="shared" si="0"/>
        <v>0.46183226950058009</v>
      </c>
      <c r="H6" s="33">
        <f t="shared" si="0"/>
        <v>0.48411565396063683</v>
      </c>
      <c r="I6" s="33">
        <f t="shared" si="0"/>
        <v>0.44789268525488524</v>
      </c>
      <c r="J6" s="33" t="e">
        <f t="shared" si="0"/>
        <v>#REF!</v>
      </c>
    </row>
    <row r="7" spans="2:15">
      <c r="B7" s="26" t="s">
        <v>143</v>
      </c>
      <c r="C7" s="29">
        <f>'P&amp;L'!C31</f>
        <v>6.0268859999999975</v>
      </c>
      <c r="D7" s="29">
        <f>'P&amp;L'!D31</f>
        <v>3.7015653000000128</v>
      </c>
      <c r="E7" s="28">
        <f>'P&amp;L'!E31</f>
        <v>14.548798340000019</v>
      </c>
      <c r="F7" s="29">
        <f>'P&amp;L'!F31</f>
        <v>46.738399771915226</v>
      </c>
      <c r="G7" s="29">
        <f>'P&amp;L'!G31</f>
        <v>53.28515735430426</v>
      </c>
      <c r="H7" s="29">
        <f>'P&amp;L'!H31</f>
        <v>81.148352734087666</v>
      </c>
      <c r="I7" s="29">
        <f>'P&amp;L'!I31</f>
        <v>126.92719046246327</v>
      </c>
      <c r="J7" s="29" t="e">
        <f>'P&amp;L'!#REF!</f>
        <v>#REF!</v>
      </c>
    </row>
    <row r="8" spans="2:15">
      <c r="B8" s="30" t="s">
        <v>251</v>
      </c>
      <c r="C8" s="34">
        <f t="shared" ref="C8:D8" si="1">C7/C5</f>
        <v>0.11548720358609972</v>
      </c>
      <c r="D8" s="34">
        <f t="shared" si="1"/>
        <v>6.8886043593025512E-2</v>
      </c>
      <c r="E8" s="35">
        <f>E7/E5</f>
        <v>9.5622716193799084E-2</v>
      </c>
      <c r="F8" s="34">
        <f t="shared" ref="F8:I8" si="2">F7/F5</f>
        <v>0.15430638480820483</v>
      </c>
      <c r="G8" s="34">
        <f t="shared" si="2"/>
        <v>0.12034242691136719</v>
      </c>
      <c r="H8" s="34">
        <f>H7/H5</f>
        <v>0.12348791994297771</v>
      </c>
      <c r="I8" s="34">
        <f t="shared" si="2"/>
        <v>0.13340222094632445</v>
      </c>
      <c r="J8" s="34" t="e">
        <f>J7/J5</f>
        <v>#REF!</v>
      </c>
    </row>
    <row r="9" spans="2:15">
      <c r="B9" s="26" t="s">
        <v>252</v>
      </c>
      <c r="C9" s="27">
        <f>'P&amp;L'!C40</f>
        <v>5.3758E-2</v>
      </c>
      <c r="D9" s="27">
        <f>'P&amp;L'!D40</f>
        <v>0.10425760000000001</v>
      </c>
      <c r="E9" s="28">
        <f>'P&amp;L'!E40</f>
        <v>0.21134339999999999</v>
      </c>
      <c r="F9" s="29">
        <f>'P&amp;L'!F40</f>
        <v>2.12541269902</v>
      </c>
      <c r="G9" s="29">
        <f>'P&amp;L'!G40</f>
        <v>2.8037222095068834</v>
      </c>
      <c r="H9" s="29">
        <f>'P&amp;L'!H40</f>
        <v>2.7904567793292969</v>
      </c>
      <c r="I9" s="29">
        <f>'P&amp;L'!I40</f>
        <v>2.7557922211994317</v>
      </c>
      <c r="J9" s="29" t="e">
        <f>'P&amp;L'!#REF!</f>
        <v>#REF!</v>
      </c>
    </row>
    <row r="10" spans="2:15">
      <c r="B10" s="26" t="s">
        <v>169</v>
      </c>
      <c r="C10" s="27">
        <f>'P&amp;L'!C41</f>
        <v>6.1732159999999974</v>
      </c>
      <c r="D10" s="27">
        <f>'P&amp;L'!D41</f>
        <v>4.0997766000000126</v>
      </c>
      <c r="E10" s="28">
        <f>'P&amp;L'!E41</f>
        <v>14.025990780000019</v>
      </c>
      <c r="F10" s="29">
        <f>'P&amp;L'!F41</f>
        <v>44.612987072895223</v>
      </c>
      <c r="G10" s="29">
        <f>'P&amp;L'!G41</f>
        <v>50.481435144797373</v>
      </c>
      <c r="H10" s="29">
        <f>'P&amp;L'!H41</f>
        <v>78.357895954758362</v>
      </c>
      <c r="I10" s="29">
        <f>'P&amp;L'!I41</f>
        <v>124.17139824126384</v>
      </c>
      <c r="J10" s="29" t="e">
        <f>'P&amp;L'!#REF!</f>
        <v>#REF!</v>
      </c>
      <c r="K10" s="36"/>
    </row>
    <row r="11" spans="2:15">
      <c r="B11" s="30" t="s">
        <v>253</v>
      </c>
      <c r="C11" s="34">
        <f t="shared" ref="C11" si="3">C10/C5</f>
        <v>0.11829117938732675</v>
      </c>
      <c r="D11" s="34">
        <f>D10/D5</f>
        <v>7.6296746565369458E-2</v>
      </c>
      <c r="E11" s="37">
        <f>E10/E5</f>
        <v>9.2186536946169712E-2</v>
      </c>
      <c r="F11" s="38">
        <f t="shared" ref="F11:J11" si="4">F10/F5</f>
        <v>0.1472893548839519</v>
      </c>
      <c r="G11" s="38">
        <f t="shared" si="4"/>
        <v>0.11401033084878319</v>
      </c>
      <c r="H11" s="38">
        <f t="shared" si="4"/>
        <v>0.11924152809693093</v>
      </c>
      <c r="I11" s="38">
        <f t="shared" si="4"/>
        <v>0.13050584546180344</v>
      </c>
      <c r="J11" s="38" t="e">
        <f t="shared" si="4"/>
        <v>#REF!</v>
      </c>
      <c r="K11" s="36"/>
    </row>
    <row r="12" spans="2:15">
      <c r="B12" s="26" t="s">
        <v>171</v>
      </c>
      <c r="C12" s="27">
        <f>'P&amp;L'!C44</f>
        <v>5.673327999999997</v>
      </c>
      <c r="D12" s="27">
        <f>'P&amp;L'!D44</f>
        <v>2.8046779000000126</v>
      </c>
      <c r="E12" s="28">
        <f>'P&amp;L'!E44</f>
        <v>12.688317500000018</v>
      </c>
      <c r="F12" s="29">
        <f>'P&amp;L'!F44</f>
        <v>44.612987072895223</v>
      </c>
      <c r="G12" s="29">
        <f>'P&amp;L'!G44</f>
        <v>50.481435144797373</v>
      </c>
      <c r="H12" s="29">
        <f>'P&amp;L'!H44</f>
        <v>78.357895954758362</v>
      </c>
      <c r="I12" s="29">
        <f>'P&amp;L'!I44</f>
        <v>124.17139824126384</v>
      </c>
      <c r="J12" s="29" t="e">
        <f>'P&amp;L'!#REF!</f>
        <v>#REF!</v>
      </c>
      <c r="K12" s="36"/>
    </row>
    <row r="13" spans="2:15">
      <c r="B13" s="30" t="s">
        <v>254</v>
      </c>
      <c r="C13" s="34">
        <f>C12/C5</f>
        <v>0.10871232436563756</v>
      </c>
      <c r="D13" s="34">
        <f t="shared" ref="D13:J13" si="5">D12/D5</f>
        <v>5.2194990071847559E-2</v>
      </c>
      <c r="E13" s="37">
        <f t="shared" si="5"/>
        <v>8.3394611357250722E-2</v>
      </c>
      <c r="F13" s="38">
        <f t="shared" si="5"/>
        <v>0.1472893548839519</v>
      </c>
      <c r="G13" s="38">
        <f t="shared" si="5"/>
        <v>0.11401033084878319</v>
      </c>
      <c r="H13" s="38">
        <f t="shared" si="5"/>
        <v>0.11924152809693093</v>
      </c>
      <c r="I13" s="38">
        <f t="shared" si="5"/>
        <v>0.13050584546180344</v>
      </c>
      <c r="J13" s="38" t="e">
        <f t="shared" si="5"/>
        <v>#REF!</v>
      </c>
      <c r="K13" s="36"/>
    </row>
    <row r="14" spans="2:15">
      <c r="B14" s="26" t="s">
        <v>175</v>
      </c>
      <c r="C14" s="27">
        <f>'P&amp;L'!C49</f>
        <v>5.6584549999999973</v>
      </c>
      <c r="D14" s="27">
        <f>'P&amp;L'!D49</f>
        <v>2.7497019000000127</v>
      </c>
      <c r="E14" s="28">
        <f>'P&amp;L'!E49</f>
        <v>9.1668323000000171</v>
      </c>
      <c r="F14" s="29">
        <f>'P&amp;L'!F49</f>
        <v>32.838581654784548</v>
      </c>
      <c r="G14" s="29">
        <f>'P&amp;L'!G49</f>
        <v>33.922565959301608</v>
      </c>
      <c r="H14" s="29">
        <f>'P&amp;L'!H49</f>
        <v>51.822964020518853</v>
      </c>
      <c r="I14" s="29">
        <f>'P&amp;L'!I49</f>
        <v>81.49262024633029</v>
      </c>
      <c r="J14" s="29" t="e">
        <f>'P&amp;L'!#REF!</f>
        <v>#REF!</v>
      </c>
    </row>
    <row r="15" spans="2:15">
      <c r="B15" s="30" t="s">
        <v>255</v>
      </c>
      <c r="C15" s="34">
        <f>C14/C5</f>
        <v>0.1084273279049552</v>
      </c>
      <c r="D15" s="34">
        <f>D14/D5</f>
        <v>5.117188799863271E-2</v>
      </c>
      <c r="E15" s="35">
        <f t="shared" ref="E15:J15" si="6">E14/E5</f>
        <v>6.0249470982704612E-2</v>
      </c>
      <c r="F15" s="34">
        <f t="shared" si="6"/>
        <v>0.108416266755108</v>
      </c>
      <c r="G15" s="34">
        <f t="shared" si="6"/>
        <v>7.661277769077518E-2</v>
      </c>
      <c r="H15" s="34">
        <f t="shared" si="6"/>
        <v>7.8861859995408498E-2</v>
      </c>
      <c r="I15" s="34">
        <f t="shared" si="6"/>
        <v>8.5649863453102132E-2</v>
      </c>
      <c r="J15" s="34" t="e">
        <f t="shared" si="6"/>
        <v>#REF!</v>
      </c>
    </row>
    <row r="16" spans="2:15">
      <c r="B16" s="26"/>
      <c r="C16" s="39"/>
      <c r="D16" s="39"/>
      <c r="E16" s="40"/>
    </row>
    <row r="17" spans="2:10">
      <c r="B17" s="26" t="s">
        <v>256</v>
      </c>
      <c r="C17" s="27">
        <f>'Balance Sheet'!C38</f>
        <v>9.5605380000000011</v>
      </c>
      <c r="D17" s="27">
        <f>'Balance Sheet'!D38</f>
        <v>12.31024</v>
      </c>
      <c r="E17" s="28">
        <f>'Balance Sheet'!E38</f>
        <v>21.477072300000017</v>
      </c>
      <c r="F17" s="29">
        <f>'Balance Sheet'!F38</f>
        <v>184.31565395478458</v>
      </c>
      <c r="G17" s="29">
        <f>'Balance Sheet'!G38</f>
        <v>218.23821991408619</v>
      </c>
      <c r="H17" s="29">
        <f>'Balance Sheet'!H38</f>
        <v>270.06118393460503</v>
      </c>
      <c r="I17" s="29">
        <f>'Balance Sheet'!I38</f>
        <v>351.55380418093534</v>
      </c>
      <c r="J17" s="29" t="e">
        <f>'Balance Sheet'!#REF!</f>
        <v>#REF!</v>
      </c>
    </row>
    <row r="18" spans="2:10">
      <c r="B18" s="41" t="s">
        <v>237</v>
      </c>
      <c r="C18" s="42">
        <f>'Balance Sheet'!C28</f>
        <v>0</v>
      </c>
      <c r="D18" s="42">
        <f>'Balance Sheet'!D28</f>
        <v>0</v>
      </c>
      <c r="E18" s="43">
        <f>'Balance Sheet'!E28</f>
        <v>0</v>
      </c>
      <c r="F18" s="44">
        <f>'Balance Sheet'!F28</f>
        <v>0</v>
      </c>
      <c r="G18" s="44">
        <f>'Balance Sheet'!G28</f>
        <v>0</v>
      </c>
      <c r="H18" s="44">
        <f>'Balance Sheet'!H28</f>
        <v>0</v>
      </c>
      <c r="I18" s="44">
        <f>'Balance Sheet'!I28</f>
        <v>0</v>
      </c>
      <c r="J18" s="44" t="e">
        <f>'Balance Sheet'!#REF!</f>
        <v>#REF!</v>
      </c>
    </row>
    <row r="19" spans="2:10">
      <c r="B19" s="41" t="s">
        <v>200</v>
      </c>
      <c r="C19" s="42">
        <f>'Balance Sheet'!C22</f>
        <v>6.4585489999999997</v>
      </c>
      <c r="D19" s="42">
        <f>'Balance Sheet'!D22</f>
        <v>16.253872000000001</v>
      </c>
      <c r="E19" s="43">
        <f>'Balance Sheet'!E22</f>
        <v>16.410838200000001</v>
      </c>
      <c r="F19" s="44">
        <f>'Balance Sheet'!F22</f>
        <v>0</v>
      </c>
      <c r="G19" s="44">
        <f>'Balance Sheet'!G22</f>
        <v>0</v>
      </c>
      <c r="H19" s="44">
        <f>'Balance Sheet'!H22</f>
        <v>0</v>
      </c>
      <c r="I19" s="44">
        <f>'Balance Sheet'!I22</f>
        <v>0</v>
      </c>
      <c r="J19" s="44" t="e">
        <f>'Balance Sheet'!#REF!</f>
        <v>#REF!</v>
      </c>
    </row>
    <row r="20" spans="2:10" s="46" customFormat="1">
      <c r="B20" s="45" t="s">
        <v>257</v>
      </c>
      <c r="C20" s="27">
        <f t="shared" ref="C20:I20" si="7">C18+C19</f>
        <v>6.4585489999999997</v>
      </c>
      <c r="D20" s="27">
        <f t="shared" si="7"/>
        <v>16.253872000000001</v>
      </c>
      <c r="E20" s="28">
        <f t="shared" si="7"/>
        <v>16.410838200000001</v>
      </c>
      <c r="F20" s="29">
        <f t="shared" si="7"/>
        <v>0</v>
      </c>
      <c r="G20" s="29">
        <f t="shared" si="7"/>
        <v>0</v>
      </c>
      <c r="H20" s="29">
        <f>H18+H19</f>
        <v>0</v>
      </c>
      <c r="I20" s="29">
        <f t="shared" si="7"/>
        <v>0</v>
      </c>
      <c r="J20" s="29" t="e">
        <f>J18+J19</f>
        <v>#REF!</v>
      </c>
    </row>
    <row r="21" spans="2:10">
      <c r="B21" s="26" t="s">
        <v>258</v>
      </c>
      <c r="C21" s="27">
        <f t="shared" ref="C21:J21" si="8">C22-C23</f>
        <v>8.785813000000001</v>
      </c>
      <c r="D21" s="27">
        <f t="shared" si="8"/>
        <v>10.140936599999996</v>
      </c>
      <c r="E21" s="28">
        <f t="shared" si="8"/>
        <v>19.561009100000003</v>
      </c>
      <c r="F21" s="29">
        <f t="shared" si="8"/>
        <v>141.88837240731496</v>
      </c>
      <c r="G21" s="29">
        <f t="shared" si="8"/>
        <v>173.92754540284344</v>
      </c>
      <c r="H21" s="29">
        <f t="shared" si="8"/>
        <v>225.96422953466933</v>
      </c>
      <c r="I21" s="29">
        <f t="shared" si="8"/>
        <v>307.95264200219913</v>
      </c>
      <c r="J21" s="29" t="e">
        <f t="shared" si="8"/>
        <v>#REF!</v>
      </c>
    </row>
    <row r="22" spans="2:10">
      <c r="B22" s="41" t="s">
        <v>370</v>
      </c>
      <c r="C22" s="42">
        <f>'Balance Sheet'!C12</f>
        <v>17.56972</v>
      </c>
      <c r="D22" s="42">
        <f>'Balance Sheet'!D12</f>
        <v>28.835561599999998</v>
      </c>
      <c r="E22" s="43">
        <f>'Balance Sheet'!E12</f>
        <v>48.427628599999998</v>
      </c>
      <c r="F22" s="44">
        <f>'Balance Sheet'!F12</f>
        <v>148.29295234277947</v>
      </c>
      <c r="G22" s="44">
        <f>'Balance Sheet'!G12</f>
        <v>182.49784191285315</v>
      </c>
      <c r="H22" s="44">
        <f>'Balance Sheet'!H12</f>
        <v>236.69583002886282</v>
      </c>
      <c r="I22" s="44">
        <f>'Balance Sheet'!I12</f>
        <v>321.38696240797481</v>
      </c>
      <c r="J22" s="44" t="e">
        <f>'Balance Sheet'!#REF!</f>
        <v>#REF!</v>
      </c>
    </row>
    <row r="23" spans="2:10">
      <c r="B23" s="41" t="s">
        <v>371</v>
      </c>
      <c r="C23" s="42">
        <f>'Balance Sheet'!C27</f>
        <v>8.7839069999999992</v>
      </c>
      <c r="D23" s="42">
        <f>'Balance Sheet'!D27</f>
        <v>18.694625000000002</v>
      </c>
      <c r="E23" s="43">
        <f>'Balance Sheet'!E27</f>
        <v>28.866619499999995</v>
      </c>
      <c r="F23" s="44">
        <f>'Balance Sheet'!F27</f>
        <v>6.4045799354645006</v>
      </c>
      <c r="G23" s="44">
        <f>'Balance Sheet'!G27</f>
        <v>8.5702965100097064</v>
      </c>
      <c r="H23" s="44">
        <f>'Balance Sheet'!H27</f>
        <v>10.731600494193486</v>
      </c>
      <c r="I23" s="44">
        <f>'Balance Sheet'!I27</f>
        <v>13.434320405775681</v>
      </c>
      <c r="J23" s="44" t="e">
        <f>'Balance Sheet'!#REF!</f>
        <v>#REF!</v>
      </c>
    </row>
    <row r="24" spans="2:10">
      <c r="B24" s="41"/>
      <c r="C24" s="42"/>
      <c r="D24" s="42"/>
      <c r="E24" s="43"/>
      <c r="F24" s="44"/>
      <c r="G24" s="44"/>
      <c r="H24" s="44"/>
      <c r="I24" s="44"/>
      <c r="J24" s="44"/>
    </row>
    <row r="25" spans="2:10" s="46" customFormat="1">
      <c r="B25" s="26" t="s">
        <v>372</v>
      </c>
      <c r="C25" s="27" t="e">
        <f>('Balance Sheet'!#REF!+'Balance Sheet'!C38)/2</f>
        <v>#REF!</v>
      </c>
      <c r="D25" s="27">
        <f>('Balance Sheet'!C38+'Balance Sheet'!D38)/2</f>
        <v>10.935389000000001</v>
      </c>
      <c r="E25" s="28">
        <f>('Balance Sheet'!D38+'Balance Sheet'!E38)/2</f>
        <v>16.893656150000009</v>
      </c>
      <c r="F25" s="29">
        <f>('Balance Sheet'!E38+'Balance Sheet'!F38)/2</f>
        <v>102.89636312739231</v>
      </c>
      <c r="G25" s="29">
        <f>('Balance Sheet'!F38+'Balance Sheet'!G38)/2</f>
        <v>201.27693693443538</v>
      </c>
      <c r="H25" s="29">
        <f>('Balance Sheet'!G38+'Balance Sheet'!H38)/2</f>
        <v>244.14970192434561</v>
      </c>
      <c r="I25" s="29">
        <f>('Balance Sheet'!H38+'Balance Sheet'!I38)/2</f>
        <v>310.80749405777021</v>
      </c>
      <c r="J25" s="29" t="e">
        <f>('Balance Sheet'!I38+'Balance Sheet'!#REF!)/2</f>
        <v>#REF!</v>
      </c>
    </row>
    <row r="26" spans="2:10" s="46" customFormat="1">
      <c r="B26" s="45" t="s">
        <v>263</v>
      </c>
      <c r="C26" s="27" t="e">
        <f>('Balance Sheet'!#REF!+'Balance Sheet'!#REF!+'Balance Sheet'!C38+'Balance Sheet'!C32)/2</f>
        <v>#REF!</v>
      </c>
      <c r="D26" s="27">
        <f>('Balance Sheet'!C38+'Balance Sheet'!C32+'Balance Sheet'!D38+'Balance Sheet'!D32)/2</f>
        <v>10.9616916</v>
      </c>
      <c r="E26" s="28">
        <f>('Balance Sheet'!D38+'Balance Sheet'!D32+'Balance Sheet'!E38+'Balance Sheet'!E32)/2</f>
        <v>16.95426135000001</v>
      </c>
      <c r="F26" s="29">
        <f>('Balance Sheet'!E38+'Balance Sheet'!E32+'Balance Sheet'!F38+'Balance Sheet'!F32)/2</f>
        <v>102.9649683273923</v>
      </c>
      <c r="G26" s="29">
        <f>('Balance Sheet'!F38+'Balance Sheet'!F32+'Balance Sheet'!G38+'Balance Sheet'!G32)/2</f>
        <v>201.34554213443539</v>
      </c>
      <c r="H26" s="29">
        <f>('Balance Sheet'!G38+'Balance Sheet'!G32+'Balance Sheet'!H38+'Balance Sheet'!H32)/2</f>
        <v>244.21830712434559</v>
      </c>
      <c r="I26" s="29">
        <f>('Balance Sheet'!H38+'Balance Sheet'!H32+'Balance Sheet'!I38+'Balance Sheet'!I32)/2</f>
        <v>310.87609925777014</v>
      </c>
      <c r="J26" s="29" t="e">
        <f>('Balance Sheet'!I38+'Balance Sheet'!I32+'Balance Sheet'!#REF!+'Balance Sheet'!#REF!)/2</f>
        <v>#REF!</v>
      </c>
    </row>
    <row r="27" spans="2:10">
      <c r="B27" s="26"/>
      <c r="C27" s="39"/>
      <c r="D27" s="39"/>
      <c r="E27" s="40"/>
    </row>
    <row r="28" spans="2:10">
      <c r="B28" s="47" t="s">
        <v>373</v>
      </c>
      <c r="C28" s="48">
        <f>(C19+C18)/C17</f>
        <v>0.67554242240342532</v>
      </c>
      <c r="D28" s="48">
        <f>(D19+D18)/D17</f>
        <v>1.3203537867661395</v>
      </c>
      <c r="E28" s="49">
        <f t="shared" ref="E28:J28" si="9">(E19+E18)/E17</f>
        <v>0.76410965008484821</v>
      </c>
      <c r="F28" s="50">
        <f t="shared" si="9"/>
        <v>0</v>
      </c>
      <c r="G28" s="50">
        <f t="shared" si="9"/>
        <v>0</v>
      </c>
      <c r="H28" s="50">
        <f t="shared" si="9"/>
        <v>0</v>
      </c>
      <c r="I28" s="50">
        <f t="shared" si="9"/>
        <v>0</v>
      </c>
      <c r="J28" s="50" t="e">
        <f t="shared" si="9"/>
        <v>#REF!</v>
      </c>
    </row>
    <row r="29" spans="2:10">
      <c r="B29" s="47" t="s">
        <v>374</v>
      </c>
      <c r="C29" s="51">
        <f>C14/C17</f>
        <v>0.59185529098885403</v>
      </c>
      <c r="D29" s="51">
        <f>D14/D17</f>
        <v>0.2233670423972248</v>
      </c>
      <c r="E29" s="52">
        <f t="shared" ref="E29:J29" si="10">E14/E17</f>
        <v>0.42681945527556892</v>
      </c>
      <c r="F29" s="53">
        <f t="shared" si="10"/>
        <v>0.17816490867802443</v>
      </c>
      <c r="G29" s="53">
        <f t="shared" si="10"/>
        <v>0.15543824529294595</v>
      </c>
      <c r="H29" s="53">
        <f t="shared" si="10"/>
        <v>0.19189341935591794</v>
      </c>
      <c r="I29" s="53">
        <f t="shared" si="10"/>
        <v>0.23180696461582939</v>
      </c>
      <c r="J29" s="53" t="e">
        <f t="shared" si="10"/>
        <v>#REF!</v>
      </c>
    </row>
    <row r="30" spans="2:10">
      <c r="B30" s="47" t="s">
        <v>265</v>
      </c>
      <c r="C30" s="51" t="e">
        <f t="shared" ref="C30:J30" si="11">C14/C25</f>
        <v>#REF!</v>
      </c>
      <c r="D30" s="51">
        <f t="shared" si="11"/>
        <v>0.25144984782891699</v>
      </c>
      <c r="E30" s="52">
        <f t="shared" si="11"/>
        <v>0.54261979873433219</v>
      </c>
      <c r="F30" s="53">
        <f t="shared" si="11"/>
        <v>0.31914229674112266</v>
      </c>
      <c r="G30" s="53">
        <f t="shared" si="11"/>
        <v>0.16853677562845493</v>
      </c>
      <c r="H30" s="53">
        <f t="shared" si="11"/>
        <v>0.21225896903440486</v>
      </c>
      <c r="I30" s="53">
        <f t="shared" si="11"/>
        <v>0.26219644572399903</v>
      </c>
      <c r="J30" s="53" t="e">
        <f t="shared" si="11"/>
        <v>#REF!</v>
      </c>
    </row>
    <row r="31" spans="2:10">
      <c r="B31" s="47" t="s">
        <v>375</v>
      </c>
      <c r="C31" s="51" t="e">
        <f t="shared" ref="C31:J31" si="12">C10/C26</f>
        <v>#REF!</v>
      </c>
      <c r="D31" s="51">
        <f t="shared" si="12"/>
        <v>0.37400948225910796</v>
      </c>
      <c r="E31" s="52">
        <f t="shared" si="12"/>
        <v>0.8272840963372321</v>
      </c>
      <c r="F31" s="53">
        <f t="shared" si="12"/>
        <v>0.43328316220174662</v>
      </c>
      <c r="G31" s="53">
        <f t="shared" si="12"/>
        <v>0.25072040140373048</v>
      </c>
      <c r="H31" s="53">
        <f t="shared" si="12"/>
        <v>0.32085185126953586</v>
      </c>
      <c r="I31" s="53">
        <f t="shared" si="12"/>
        <v>0.39942407453557327</v>
      </c>
      <c r="J31" s="53" t="e">
        <f t="shared" si="12"/>
        <v>#REF!</v>
      </c>
    </row>
    <row r="32" spans="2:10">
      <c r="B32" s="47" t="s">
        <v>376</v>
      </c>
      <c r="C32" s="51"/>
      <c r="D32" s="51">
        <f>((D10-C10)/C10)/((D5-C5)/C5)</f>
        <v>-11.323126870834509</v>
      </c>
      <c r="E32" s="52">
        <f t="shared" ref="E32:J32" si="13">((E10-D10)/D10)/((E5-D5)/D5)</f>
        <v>1.3219766317679857</v>
      </c>
      <c r="F32" s="53">
        <f>((F10-E10)/E10)/((F5-E5)/E5)</f>
        <v>2.2010240809108486</v>
      </c>
      <c r="G32" s="53">
        <f t="shared" si="13"/>
        <v>0.28482472615149068</v>
      </c>
      <c r="H32" s="53">
        <f t="shared" si="13"/>
        <v>1.1406615860267486</v>
      </c>
      <c r="I32" s="53">
        <f t="shared" si="13"/>
        <v>1.3053794082624708</v>
      </c>
      <c r="J32" s="53" t="e">
        <f t="shared" si="13"/>
        <v>#REF!</v>
      </c>
    </row>
    <row r="33" spans="2:2">
      <c r="B33" s="54"/>
    </row>
    <row r="34" spans="2:2">
      <c r="B34" s="55"/>
    </row>
  </sheetData>
  <dataConsolidate/>
  <pageMargins left="0.7" right="0.7" top="0.75" bottom="0.75" header="0.3" footer="0.3"/>
  <customProperties>
    <customPr name="OrphanNamesChecke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BBDD-64AA-4F9E-8137-11A97253C2ED}">
  <dimension ref="B3:H11"/>
  <sheetViews>
    <sheetView showGridLines="0" zoomScale="80" zoomScaleNormal="80" workbookViewId="0"/>
  </sheetViews>
  <sheetFormatPr defaultColWidth="9" defaultRowHeight="12.5"/>
  <cols>
    <col min="1" max="1" width="2.453125" style="67" customWidth="1"/>
    <col min="2" max="2" width="34.26953125" style="67" bestFit="1" customWidth="1"/>
    <col min="3" max="4" width="12.54296875" style="67" bestFit="1" customWidth="1"/>
    <col min="5" max="7" width="13.453125" style="67" bestFit="1" customWidth="1"/>
    <col min="8" max="8" width="60" style="67" customWidth="1"/>
    <col min="9" max="16384" width="9" style="67"/>
  </cols>
  <sheetData>
    <row r="3" spans="2:8" ht="13">
      <c r="B3" s="203" t="s">
        <v>453</v>
      </c>
      <c r="C3" s="203" t="s">
        <v>277</v>
      </c>
      <c r="D3" s="203" t="s">
        <v>278</v>
      </c>
      <c r="E3" s="203" t="s">
        <v>279</v>
      </c>
      <c r="F3" s="203" t="s">
        <v>280</v>
      </c>
      <c r="G3" s="203" t="s">
        <v>281</v>
      </c>
    </row>
    <row r="4" spans="2:8">
      <c r="B4" s="147" t="s">
        <v>454</v>
      </c>
      <c r="C4" s="636">
        <v>500000</v>
      </c>
      <c r="D4" s="197">
        <v>500000</v>
      </c>
      <c r="E4" s="202">
        <v>500000</v>
      </c>
      <c r="F4" s="197">
        <v>500000</v>
      </c>
      <c r="G4" s="202">
        <v>500000</v>
      </c>
    </row>
    <row r="5" spans="2:8" ht="48">
      <c r="B5" s="770" t="s">
        <v>455</v>
      </c>
      <c r="C5" s="770">
        <v>1</v>
      </c>
      <c r="D5" s="68">
        <v>2</v>
      </c>
      <c r="E5" s="770">
        <v>2</v>
      </c>
      <c r="F5" s="68">
        <v>2</v>
      </c>
      <c r="G5" s="770">
        <v>2</v>
      </c>
      <c r="H5" s="781" t="s">
        <v>456</v>
      </c>
    </row>
    <row r="6" spans="2:8">
      <c r="B6" s="147" t="s">
        <v>457</v>
      </c>
      <c r="C6" s="171">
        <v>300000</v>
      </c>
      <c r="D6" s="171">
        <v>350000</v>
      </c>
      <c r="E6" s="171">
        <v>350000</v>
      </c>
      <c r="F6" s="171">
        <v>350000</v>
      </c>
      <c r="G6" s="171">
        <v>350000</v>
      </c>
    </row>
    <row r="7" spans="2:8">
      <c r="B7" s="147"/>
      <c r="C7" s="147"/>
      <c r="E7" s="147"/>
      <c r="G7" s="147"/>
    </row>
    <row r="8" spans="2:8">
      <c r="B8" s="147" t="s">
        <v>378</v>
      </c>
      <c r="C8" s="147">
        <f>'Revenue '!S55</f>
        <v>142</v>
      </c>
      <c r="D8" s="67">
        <f>'Revenue '!Z55</f>
        <v>156</v>
      </c>
      <c r="E8" s="147">
        <f>'Revenue '!AG55</f>
        <v>171</v>
      </c>
      <c r="F8" s="67">
        <f>'Revenue '!AN55</f>
        <v>188</v>
      </c>
      <c r="G8" s="147">
        <f>'Revenue '!AU55</f>
        <v>207</v>
      </c>
    </row>
    <row r="9" spans="2:8">
      <c r="B9" s="147" t="s">
        <v>311</v>
      </c>
      <c r="C9" s="147"/>
      <c r="D9" s="67">
        <f>D8-C8</f>
        <v>14</v>
      </c>
      <c r="E9" s="147">
        <f>E8-D8</f>
        <v>15</v>
      </c>
      <c r="F9" s="67">
        <f>F8-E8</f>
        <v>17</v>
      </c>
      <c r="G9" s="147">
        <f>G8-F8</f>
        <v>19</v>
      </c>
    </row>
    <row r="10" spans="2:8">
      <c r="B10" s="147"/>
      <c r="C10" s="147"/>
      <c r="E10" s="147"/>
      <c r="G10" s="147"/>
    </row>
    <row r="11" spans="2:8" ht="13">
      <c r="B11" s="200" t="s">
        <v>458</v>
      </c>
      <c r="C11" s="201">
        <f>C4*C9</f>
        <v>0</v>
      </c>
      <c r="D11" s="201">
        <f>D4*D9</f>
        <v>7000000</v>
      </c>
      <c r="E11" s="201">
        <f>E4*E9</f>
        <v>7500000</v>
      </c>
      <c r="F11" s="201">
        <f>F4*F9</f>
        <v>8500000</v>
      </c>
      <c r="G11" s="201">
        <f>G4*G9</f>
        <v>9500000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366B-AA38-47C3-A4B5-2D44A820FAB0}">
  <dimension ref="A2:W62"/>
  <sheetViews>
    <sheetView showGridLines="0" zoomScale="54" zoomScaleNormal="70" workbookViewId="0">
      <pane xSplit="2" ySplit="8" topLeftCell="C31" activePane="bottomRight" state="frozen"/>
      <selection pane="topRight" activeCell="C1" sqref="C1"/>
      <selection pane="bottomLeft" activeCell="A9" sqref="A9"/>
      <selection pane="bottomRight" activeCell="E54" sqref="E54"/>
    </sheetView>
  </sheetViews>
  <sheetFormatPr defaultColWidth="8" defaultRowHeight="14"/>
  <cols>
    <col min="1" max="1" width="37.1796875" style="121" bestFit="1" customWidth="1"/>
    <col min="2" max="2" width="20.54296875" style="121" customWidth="1"/>
    <col min="3" max="3" width="10.81640625" style="121" customWidth="1"/>
    <col min="4" max="4" width="9.54296875" style="121" customWidth="1"/>
    <col min="5" max="5" width="10" style="121" customWidth="1"/>
    <col min="6" max="6" width="10.54296875" style="121" customWidth="1"/>
    <col min="7" max="7" width="9.54296875" style="121" customWidth="1"/>
    <col min="8" max="8" width="11.1796875" style="121" customWidth="1"/>
    <col min="9" max="9" width="10" style="121" customWidth="1"/>
    <col min="10" max="10" width="14" style="121" bestFit="1" customWidth="1"/>
    <col min="11" max="11" width="10.81640625" style="121" customWidth="1"/>
    <col min="12" max="12" width="14" style="121" bestFit="1" customWidth="1"/>
    <col min="13" max="13" width="14.1796875" style="121" customWidth="1"/>
    <col min="14" max="14" width="15.54296875" style="121" customWidth="1"/>
    <col min="15" max="16" width="13.1796875" style="121" bestFit="1" customWidth="1"/>
    <col min="17" max="17" width="17.81640625" style="121" customWidth="1"/>
    <col min="18" max="18" width="14.453125" style="121" bestFit="1" customWidth="1"/>
    <col min="19" max="19" width="15.453125" style="121" customWidth="1"/>
    <col min="20" max="21" width="15" style="121" bestFit="1" customWidth="1"/>
    <col min="22" max="22" width="15.26953125" style="121" bestFit="1" customWidth="1"/>
    <col min="23" max="23" width="17.54296875" style="121" customWidth="1"/>
    <col min="24" max="16384" width="8" style="121"/>
  </cols>
  <sheetData>
    <row r="2" spans="1:23" ht="15.5">
      <c r="A2" s="119" t="s">
        <v>459</v>
      </c>
      <c r="B2" s="120"/>
    </row>
    <row r="3" spans="1:23" ht="15.5">
      <c r="A3" s="119"/>
      <c r="B3" s="120"/>
    </row>
    <row r="4" spans="1:23" ht="18">
      <c r="A4" s="216" t="s">
        <v>460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</row>
    <row r="5" spans="1:23" ht="18">
      <c r="A5" s="215"/>
    </row>
    <row r="6" spans="1:23" ht="18">
      <c r="A6" s="215"/>
    </row>
    <row r="7" spans="1:23">
      <c r="A7" s="1047" t="s">
        <v>142</v>
      </c>
      <c r="B7" s="123"/>
      <c r="C7" s="1048" t="s">
        <v>461</v>
      </c>
      <c r="D7" s="1049"/>
      <c r="E7" s="1049"/>
      <c r="F7" s="1049"/>
      <c r="G7" s="1049"/>
      <c r="H7" s="1049"/>
      <c r="I7" s="1050"/>
      <c r="J7" s="1051" t="s">
        <v>462</v>
      </c>
      <c r="K7" s="1051"/>
      <c r="L7" s="1051"/>
      <c r="M7" s="1051"/>
      <c r="N7" s="1051"/>
      <c r="O7" s="1051"/>
      <c r="P7" s="1052"/>
      <c r="Q7" s="1053" t="s">
        <v>463</v>
      </c>
      <c r="R7" s="1054"/>
      <c r="S7" s="1054"/>
      <c r="T7" s="1054"/>
      <c r="U7" s="1054"/>
      <c r="V7" s="1054"/>
      <c r="W7" s="1054"/>
    </row>
    <row r="8" spans="1:23">
      <c r="A8" s="1047"/>
      <c r="B8" s="125" t="s">
        <v>464</v>
      </c>
      <c r="C8" s="122" t="s">
        <v>465</v>
      </c>
      <c r="D8" s="124" t="s">
        <v>466</v>
      </c>
      <c r="E8" s="126" t="s">
        <v>467</v>
      </c>
      <c r="F8" s="126" t="s">
        <v>468</v>
      </c>
      <c r="G8" s="126" t="s">
        <v>469</v>
      </c>
      <c r="H8" s="126" t="s">
        <v>470</v>
      </c>
      <c r="I8" s="126" t="s">
        <v>471</v>
      </c>
      <c r="J8" s="126" t="s">
        <v>465</v>
      </c>
      <c r="K8" s="126" t="s">
        <v>466</v>
      </c>
      <c r="L8" s="126" t="s">
        <v>467</v>
      </c>
      <c r="M8" s="126" t="s">
        <v>468</v>
      </c>
      <c r="N8" s="126" t="s">
        <v>469</v>
      </c>
      <c r="O8" s="126" t="s">
        <v>470</v>
      </c>
      <c r="P8" s="126" t="s">
        <v>471</v>
      </c>
      <c r="Q8" s="126" t="s">
        <v>465</v>
      </c>
      <c r="R8" s="126" t="s">
        <v>466</v>
      </c>
      <c r="S8" s="126" t="s">
        <v>467</v>
      </c>
      <c r="T8" s="126" t="s">
        <v>468</v>
      </c>
      <c r="U8" s="127" t="s">
        <v>469</v>
      </c>
      <c r="V8" s="126" t="s">
        <v>470</v>
      </c>
      <c r="W8" s="126" t="s">
        <v>471</v>
      </c>
    </row>
    <row r="9" spans="1:23" ht="56">
      <c r="A9" s="128"/>
      <c r="B9" s="129" t="s">
        <v>472</v>
      </c>
      <c r="C9" s="130"/>
      <c r="D9" s="131"/>
      <c r="F9" s="131"/>
      <c r="H9" s="131"/>
      <c r="I9" s="132"/>
      <c r="J9" s="133"/>
      <c r="L9" s="131"/>
      <c r="N9" s="131"/>
      <c r="P9" s="134"/>
      <c r="Q9" s="130"/>
      <c r="R9" s="439"/>
      <c r="S9" s="440"/>
      <c r="T9" s="439"/>
      <c r="U9" s="440"/>
      <c r="V9" s="439"/>
      <c r="W9" s="441"/>
    </row>
    <row r="10" spans="1:23">
      <c r="A10" s="135" t="s">
        <v>473</v>
      </c>
      <c r="B10" s="650" t="s">
        <v>474</v>
      </c>
      <c r="C10" s="133"/>
      <c r="D10" s="131"/>
      <c r="F10" s="131"/>
      <c r="H10" s="131"/>
      <c r="I10" s="132"/>
      <c r="J10" s="133"/>
      <c r="L10" s="131"/>
      <c r="N10" s="131"/>
      <c r="P10" s="134"/>
      <c r="Q10" s="133"/>
      <c r="S10" s="131"/>
      <c r="U10" s="131"/>
      <c r="W10" s="134"/>
    </row>
    <row r="11" spans="1:23">
      <c r="A11" s="651" t="s">
        <v>475</v>
      </c>
      <c r="B11" s="136" t="s">
        <v>474</v>
      </c>
      <c r="C11" s="133">
        <v>1</v>
      </c>
      <c r="D11" s="131">
        <v>1</v>
      </c>
      <c r="E11" s="121">
        <v>1</v>
      </c>
      <c r="F11" s="131">
        <v>1</v>
      </c>
      <c r="G11" s="131">
        <v>1</v>
      </c>
      <c r="H11" s="131">
        <v>1</v>
      </c>
      <c r="I11" s="131">
        <v>1</v>
      </c>
      <c r="J11" s="204">
        <v>1800000</v>
      </c>
      <c r="K11" s="204">
        <v>1800000</v>
      </c>
      <c r="L11" s="204">
        <v>1800000</v>
      </c>
      <c r="M11" s="697">
        <v>6000000</v>
      </c>
      <c r="N11" s="684">
        <f t="shared" ref="N11:P12" si="0">M11*1.3</f>
        <v>7800000</v>
      </c>
      <c r="O11" s="684">
        <f t="shared" si="0"/>
        <v>10140000</v>
      </c>
      <c r="P11" s="684">
        <f t="shared" si="0"/>
        <v>13182000</v>
      </c>
      <c r="Q11" s="204">
        <f>J11*C11</f>
        <v>1800000</v>
      </c>
      <c r="R11" s="204">
        <f t="shared" ref="R11:W26" si="1">K11*D11</f>
        <v>1800000</v>
      </c>
      <c r="S11" s="204">
        <f t="shared" si="1"/>
        <v>1800000</v>
      </c>
      <c r="T11" s="204">
        <f t="shared" si="1"/>
        <v>6000000</v>
      </c>
      <c r="U11" s="204">
        <f t="shared" ref="U11:U12" si="2">N11*G11</f>
        <v>7800000</v>
      </c>
      <c r="V11" s="204">
        <f t="shared" ref="V11:V12" si="3">O11*H11</f>
        <v>10140000</v>
      </c>
      <c r="W11" s="442">
        <f t="shared" ref="W11:W12" si="4">P11*I11</f>
        <v>13182000</v>
      </c>
    </row>
    <row r="12" spans="1:23">
      <c r="A12" s="651" t="s">
        <v>476</v>
      </c>
      <c r="B12" s="136"/>
      <c r="C12" s="133">
        <v>1</v>
      </c>
      <c r="D12" s="131">
        <v>1</v>
      </c>
      <c r="E12" s="121">
        <v>1</v>
      </c>
      <c r="F12" s="131">
        <v>1</v>
      </c>
      <c r="G12" s="131">
        <v>1</v>
      </c>
      <c r="H12" s="131">
        <v>1</v>
      </c>
      <c r="I12" s="131">
        <v>1</v>
      </c>
      <c r="J12" s="204">
        <v>1800000</v>
      </c>
      <c r="K12" s="204">
        <v>1800000</v>
      </c>
      <c r="L12" s="204">
        <v>1800000</v>
      </c>
      <c r="M12" s="697">
        <v>6000000</v>
      </c>
      <c r="N12" s="684">
        <f t="shared" si="0"/>
        <v>7800000</v>
      </c>
      <c r="O12" s="684">
        <f t="shared" si="0"/>
        <v>10140000</v>
      </c>
      <c r="P12" s="684">
        <f t="shared" si="0"/>
        <v>13182000</v>
      </c>
      <c r="Q12" s="204">
        <f t="shared" ref="Q12:W42" si="5">J12*C12</f>
        <v>1800000</v>
      </c>
      <c r="R12" s="204">
        <f t="shared" si="1"/>
        <v>1800000</v>
      </c>
      <c r="S12" s="204">
        <f t="shared" si="1"/>
        <v>1800000</v>
      </c>
      <c r="T12" s="204">
        <f t="shared" si="1"/>
        <v>6000000</v>
      </c>
      <c r="U12" s="204">
        <f t="shared" si="2"/>
        <v>7800000</v>
      </c>
      <c r="V12" s="204">
        <f t="shared" si="3"/>
        <v>10140000</v>
      </c>
      <c r="W12" s="442">
        <f t="shared" si="4"/>
        <v>13182000</v>
      </c>
    </row>
    <row r="13" spans="1:23">
      <c r="A13" s="651"/>
      <c r="B13" s="136"/>
      <c r="C13" s="133"/>
      <c r="D13" s="131"/>
      <c r="F13" s="131"/>
      <c r="H13" s="131"/>
      <c r="I13" s="132"/>
      <c r="J13" s="204"/>
      <c r="K13" s="205"/>
      <c r="L13" s="205"/>
      <c r="M13" s="205"/>
      <c r="N13" s="205"/>
      <c r="O13" s="205"/>
      <c r="P13" s="206"/>
      <c r="Q13" s="204">
        <f t="shared" si="5"/>
        <v>0</v>
      </c>
      <c r="R13" s="204">
        <f t="shared" si="1"/>
        <v>0</v>
      </c>
      <c r="S13" s="204">
        <f t="shared" si="1"/>
        <v>0</v>
      </c>
      <c r="T13" s="204">
        <f t="shared" si="1"/>
        <v>0</v>
      </c>
      <c r="U13" s="204">
        <f t="shared" si="1"/>
        <v>0</v>
      </c>
      <c r="V13" s="204">
        <f t="shared" si="1"/>
        <v>0</v>
      </c>
      <c r="W13" s="442">
        <f t="shared" si="1"/>
        <v>0</v>
      </c>
    </row>
    <row r="14" spans="1:23">
      <c r="A14" s="135" t="s">
        <v>477</v>
      </c>
      <c r="B14" s="650"/>
      <c r="C14" s="133"/>
      <c r="D14" s="131"/>
      <c r="F14" s="131"/>
      <c r="H14" s="131"/>
      <c r="I14" s="132"/>
      <c r="J14" s="204">
        <v>0</v>
      </c>
      <c r="K14" s="205">
        <v>0</v>
      </c>
      <c r="L14" s="205">
        <v>0</v>
      </c>
      <c r="M14" s="205">
        <v>0</v>
      </c>
      <c r="N14" s="205">
        <v>0</v>
      </c>
      <c r="O14" s="205">
        <v>0</v>
      </c>
      <c r="P14" s="206">
        <v>0</v>
      </c>
      <c r="Q14" s="204">
        <f t="shared" si="5"/>
        <v>0</v>
      </c>
      <c r="R14" s="204">
        <f t="shared" si="1"/>
        <v>0</v>
      </c>
      <c r="S14" s="204">
        <f t="shared" si="1"/>
        <v>0</v>
      </c>
      <c r="T14" s="204">
        <f t="shared" si="1"/>
        <v>0</v>
      </c>
      <c r="U14" s="204">
        <f t="shared" si="1"/>
        <v>0</v>
      </c>
      <c r="V14" s="204">
        <f t="shared" si="1"/>
        <v>0</v>
      </c>
      <c r="W14" s="442">
        <f t="shared" si="1"/>
        <v>0</v>
      </c>
    </row>
    <row r="15" spans="1:23">
      <c r="A15" s="651" t="s">
        <v>478</v>
      </c>
      <c r="B15" s="136" t="s">
        <v>474</v>
      </c>
      <c r="C15" s="133">
        <v>1</v>
      </c>
      <c r="D15" s="131">
        <v>1</v>
      </c>
      <c r="E15" s="121">
        <v>1</v>
      </c>
      <c r="F15" s="131">
        <v>1</v>
      </c>
      <c r="G15" s="131">
        <v>1</v>
      </c>
      <c r="H15" s="131">
        <v>1</v>
      </c>
      <c r="I15" s="131">
        <v>1</v>
      </c>
      <c r="J15" s="204">
        <v>480000</v>
      </c>
      <c r="K15" s="205">
        <v>600000</v>
      </c>
      <c r="L15" s="205">
        <v>720000</v>
      </c>
      <c r="M15" s="205">
        <f>L15*1.2</f>
        <v>864000</v>
      </c>
      <c r="N15" s="205">
        <f t="shared" ref="N15:P16" si="6">M15*1.2</f>
        <v>1036800</v>
      </c>
      <c r="O15" s="205">
        <f t="shared" si="6"/>
        <v>1244160</v>
      </c>
      <c r="P15" s="205">
        <f t="shared" si="6"/>
        <v>1492992</v>
      </c>
      <c r="Q15" s="204">
        <f t="shared" si="5"/>
        <v>480000</v>
      </c>
      <c r="R15" s="204">
        <f t="shared" si="1"/>
        <v>600000</v>
      </c>
      <c r="S15" s="204">
        <f t="shared" si="1"/>
        <v>720000</v>
      </c>
      <c r="T15" s="204">
        <f t="shared" si="1"/>
        <v>864000</v>
      </c>
      <c r="U15" s="204">
        <f t="shared" si="1"/>
        <v>1036800</v>
      </c>
      <c r="V15" s="204">
        <f t="shared" si="1"/>
        <v>1244160</v>
      </c>
      <c r="W15" s="442">
        <f t="shared" si="1"/>
        <v>1492992</v>
      </c>
    </row>
    <row r="16" spans="1:23">
      <c r="A16" s="651" t="s">
        <v>479</v>
      </c>
      <c r="B16" s="136" t="s">
        <v>474</v>
      </c>
      <c r="C16" s="133">
        <v>1</v>
      </c>
      <c r="D16" s="131">
        <v>1</v>
      </c>
      <c r="E16" s="121">
        <v>2</v>
      </c>
      <c r="F16" s="131">
        <v>3</v>
      </c>
      <c r="G16" s="131">
        <v>4</v>
      </c>
      <c r="H16" s="131">
        <v>4</v>
      </c>
      <c r="I16" s="131">
        <v>4</v>
      </c>
      <c r="J16" s="204">
        <v>255600</v>
      </c>
      <c r="K16" s="204">
        <v>255600</v>
      </c>
      <c r="L16" s="205">
        <v>420000</v>
      </c>
      <c r="M16" s="205">
        <f>L16*1.2</f>
        <v>504000</v>
      </c>
      <c r="N16" s="205">
        <f t="shared" si="6"/>
        <v>604800</v>
      </c>
      <c r="O16" s="205">
        <f t="shared" si="6"/>
        <v>725760</v>
      </c>
      <c r="P16" s="205">
        <f t="shared" si="6"/>
        <v>870912</v>
      </c>
      <c r="Q16" s="204">
        <f t="shared" si="5"/>
        <v>255600</v>
      </c>
      <c r="R16" s="204">
        <f t="shared" si="1"/>
        <v>255600</v>
      </c>
      <c r="S16" s="204">
        <f t="shared" si="1"/>
        <v>840000</v>
      </c>
      <c r="T16" s="204">
        <f t="shared" si="1"/>
        <v>1512000</v>
      </c>
      <c r="U16" s="204">
        <f t="shared" si="1"/>
        <v>2419200</v>
      </c>
      <c r="V16" s="204">
        <f t="shared" si="1"/>
        <v>2903040</v>
      </c>
      <c r="W16" s="442">
        <f t="shared" si="1"/>
        <v>3483648</v>
      </c>
    </row>
    <row r="17" spans="1:23">
      <c r="A17" s="651"/>
      <c r="B17" s="136"/>
      <c r="C17" s="133"/>
      <c r="D17" s="131"/>
      <c r="F17" s="131"/>
      <c r="H17" s="131"/>
      <c r="I17" s="132"/>
      <c r="J17" s="204"/>
      <c r="K17" s="204"/>
      <c r="L17" s="428"/>
      <c r="M17" s="205"/>
      <c r="N17" s="205"/>
      <c r="O17" s="205"/>
      <c r="P17" s="206"/>
      <c r="Q17" s="204">
        <f t="shared" si="5"/>
        <v>0</v>
      </c>
      <c r="R17" s="204">
        <f t="shared" si="1"/>
        <v>0</v>
      </c>
      <c r="S17" s="204">
        <f t="shared" si="1"/>
        <v>0</v>
      </c>
      <c r="T17" s="204">
        <f t="shared" si="1"/>
        <v>0</v>
      </c>
      <c r="U17" s="204">
        <f t="shared" si="1"/>
        <v>0</v>
      </c>
      <c r="V17" s="204">
        <f t="shared" si="1"/>
        <v>0</v>
      </c>
      <c r="W17" s="442">
        <f t="shared" si="1"/>
        <v>0</v>
      </c>
    </row>
    <row r="18" spans="1:23">
      <c r="A18" s="135" t="s">
        <v>480</v>
      </c>
      <c r="B18" s="650"/>
      <c r="C18" s="133"/>
      <c r="D18" s="131"/>
      <c r="F18" s="131"/>
      <c r="H18" s="131"/>
      <c r="I18" s="132"/>
      <c r="J18" s="204">
        <v>0</v>
      </c>
      <c r="K18" s="205">
        <v>0</v>
      </c>
      <c r="L18" s="207"/>
      <c r="M18" s="205">
        <v>0</v>
      </c>
      <c r="N18" s="205">
        <v>0</v>
      </c>
      <c r="O18" s="205">
        <v>0</v>
      </c>
      <c r="P18" s="206">
        <v>0</v>
      </c>
      <c r="Q18" s="204">
        <f t="shared" si="5"/>
        <v>0</v>
      </c>
      <c r="R18" s="204">
        <f t="shared" si="1"/>
        <v>0</v>
      </c>
      <c r="S18" s="204">
        <f t="shared" si="1"/>
        <v>0</v>
      </c>
      <c r="T18" s="204">
        <f t="shared" si="1"/>
        <v>0</v>
      </c>
      <c r="U18" s="204">
        <f t="shared" si="1"/>
        <v>0</v>
      </c>
      <c r="V18" s="204">
        <f t="shared" si="1"/>
        <v>0</v>
      </c>
      <c r="W18" s="442">
        <f t="shared" si="1"/>
        <v>0</v>
      </c>
    </row>
    <row r="19" spans="1:23">
      <c r="A19" s="651" t="s">
        <v>478</v>
      </c>
      <c r="B19" s="137" t="s">
        <v>474</v>
      </c>
      <c r="C19" s="133">
        <v>1</v>
      </c>
      <c r="D19" s="131">
        <v>2</v>
      </c>
      <c r="E19" s="121">
        <v>3</v>
      </c>
      <c r="F19" s="131">
        <v>3</v>
      </c>
      <c r="G19" s="131">
        <v>3</v>
      </c>
      <c r="H19" s="131">
        <v>3</v>
      </c>
      <c r="I19" s="131">
        <v>3</v>
      </c>
      <c r="J19" s="204">
        <v>183600</v>
      </c>
      <c r="K19" s="205">
        <v>300000</v>
      </c>
      <c r="L19" s="205">
        <v>420000</v>
      </c>
      <c r="M19" s="205">
        <f>L19*1.2</f>
        <v>504000</v>
      </c>
      <c r="N19" s="205">
        <f t="shared" ref="N19:P19" si="7">M19*1.2</f>
        <v>604800</v>
      </c>
      <c r="O19" s="205">
        <f t="shared" si="7"/>
        <v>725760</v>
      </c>
      <c r="P19" s="205">
        <f t="shared" si="7"/>
        <v>870912</v>
      </c>
      <c r="Q19" s="204">
        <f t="shared" si="5"/>
        <v>183600</v>
      </c>
      <c r="R19" s="204">
        <f>K19*D19</f>
        <v>600000</v>
      </c>
      <c r="S19" s="204">
        <f t="shared" si="1"/>
        <v>1260000</v>
      </c>
      <c r="T19" s="204">
        <f t="shared" si="1"/>
        <v>1512000</v>
      </c>
      <c r="U19" s="204">
        <f t="shared" si="1"/>
        <v>1814400</v>
      </c>
      <c r="V19" s="204">
        <f t="shared" si="1"/>
        <v>2177280</v>
      </c>
      <c r="W19" s="442">
        <f t="shared" si="1"/>
        <v>2612736</v>
      </c>
    </row>
    <row r="20" spans="1:23">
      <c r="A20" s="651" t="s">
        <v>479</v>
      </c>
      <c r="B20" s="137" t="s">
        <v>474</v>
      </c>
      <c r="C20" s="133">
        <v>1</v>
      </c>
      <c r="D20" s="131">
        <v>1</v>
      </c>
      <c r="E20" s="121">
        <v>1</v>
      </c>
      <c r="F20" s="131">
        <v>4</v>
      </c>
      <c r="G20" s="121">
        <v>5</v>
      </c>
      <c r="H20" s="131">
        <v>6</v>
      </c>
      <c r="I20" s="132">
        <v>7</v>
      </c>
      <c r="J20" s="204">
        <v>183600</v>
      </c>
      <c r="K20" s="204">
        <v>183600</v>
      </c>
      <c r="L20" s="205">
        <v>300000</v>
      </c>
      <c r="M20" s="205">
        <f>L20*1.2</f>
        <v>360000</v>
      </c>
      <c r="N20" s="205">
        <f t="shared" ref="N20:P20" si="8">M20*1.2</f>
        <v>432000</v>
      </c>
      <c r="O20" s="205">
        <f t="shared" si="8"/>
        <v>518400</v>
      </c>
      <c r="P20" s="205">
        <f t="shared" si="8"/>
        <v>622080</v>
      </c>
      <c r="Q20" s="204">
        <f t="shared" si="5"/>
        <v>183600</v>
      </c>
      <c r="R20" s="204">
        <f t="shared" si="1"/>
        <v>183600</v>
      </c>
      <c r="S20" s="204">
        <f t="shared" si="1"/>
        <v>300000</v>
      </c>
      <c r="T20" s="204">
        <f t="shared" si="1"/>
        <v>1440000</v>
      </c>
      <c r="U20" s="204">
        <f t="shared" si="1"/>
        <v>2160000</v>
      </c>
      <c r="V20" s="204">
        <f t="shared" si="1"/>
        <v>3110400</v>
      </c>
      <c r="W20" s="442">
        <f t="shared" si="1"/>
        <v>4354560</v>
      </c>
    </row>
    <row r="21" spans="1:23">
      <c r="A21" s="651"/>
      <c r="B21" s="137"/>
      <c r="C21" s="133"/>
      <c r="D21" s="131"/>
      <c r="F21" s="131"/>
      <c r="H21" s="131"/>
      <c r="I21" s="132"/>
      <c r="J21" s="204"/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6">
        <v>0</v>
      </c>
      <c r="Q21" s="204">
        <f t="shared" si="5"/>
        <v>0</v>
      </c>
      <c r="R21" s="204">
        <f t="shared" si="1"/>
        <v>0</v>
      </c>
      <c r="S21" s="204">
        <f t="shared" si="1"/>
        <v>0</v>
      </c>
      <c r="T21" s="204">
        <f t="shared" si="1"/>
        <v>0</v>
      </c>
      <c r="U21" s="204">
        <f t="shared" si="1"/>
        <v>0</v>
      </c>
      <c r="V21" s="204">
        <f t="shared" si="1"/>
        <v>0</v>
      </c>
      <c r="W21" s="442">
        <f t="shared" si="1"/>
        <v>0</v>
      </c>
    </row>
    <row r="22" spans="1:23">
      <c r="A22" s="133"/>
      <c r="B22" s="137"/>
      <c r="C22" s="133"/>
      <c r="D22" s="131"/>
      <c r="F22" s="131"/>
      <c r="H22" s="131"/>
      <c r="I22" s="132"/>
      <c r="J22" s="204"/>
      <c r="K22" s="205"/>
      <c r="L22" s="205"/>
      <c r="M22" s="205"/>
      <c r="N22" s="205"/>
      <c r="O22" s="205"/>
      <c r="P22" s="206"/>
      <c r="Q22" s="204">
        <f t="shared" si="5"/>
        <v>0</v>
      </c>
      <c r="R22" s="204">
        <f t="shared" si="1"/>
        <v>0</v>
      </c>
      <c r="S22" s="204">
        <f t="shared" si="1"/>
        <v>0</v>
      </c>
      <c r="T22" s="204">
        <f t="shared" si="1"/>
        <v>0</v>
      </c>
      <c r="U22" s="204">
        <f t="shared" si="1"/>
        <v>0</v>
      </c>
      <c r="V22" s="204">
        <f t="shared" si="1"/>
        <v>0</v>
      </c>
      <c r="W22" s="442">
        <f t="shared" si="1"/>
        <v>0</v>
      </c>
    </row>
    <row r="23" spans="1:23">
      <c r="A23" s="135" t="s">
        <v>481</v>
      </c>
      <c r="B23" s="137"/>
      <c r="C23" s="133"/>
      <c r="D23" s="131"/>
      <c r="F23" s="131"/>
      <c r="H23" s="131"/>
      <c r="I23" s="132"/>
      <c r="J23" s="204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6">
        <v>0</v>
      </c>
      <c r="Q23" s="204">
        <f t="shared" si="5"/>
        <v>0</v>
      </c>
      <c r="R23" s="204">
        <f t="shared" si="1"/>
        <v>0</v>
      </c>
      <c r="S23" s="204">
        <f t="shared" si="1"/>
        <v>0</v>
      </c>
      <c r="T23" s="204">
        <f t="shared" si="1"/>
        <v>0</v>
      </c>
      <c r="U23" s="204">
        <f t="shared" si="1"/>
        <v>0</v>
      </c>
      <c r="V23" s="204">
        <f t="shared" si="1"/>
        <v>0</v>
      </c>
      <c r="W23" s="442">
        <f t="shared" si="1"/>
        <v>0</v>
      </c>
    </row>
    <row r="24" spans="1:23">
      <c r="A24" s="651" t="s">
        <v>478</v>
      </c>
      <c r="B24" s="136" t="s">
        <v>474</v>
      </c>
      <c r="C24" s="133">
        <v>4</v>
      </c>
      <c r="D24" s="131">
        <v>6</v>
      </c>
      <c r="E24" s="121">
        <v>8</v>
      </c>
      <c r="F24" s="131">
        <v>10</v>
      </c>
      <c r="G24" s="131">
        <v>5</v>
      </c>
      <c r="H24" s="131">
        <v>5</v>
      </c>
      <c r="I24" s="131">
        <v>5</v>
      </c>
      <c r="J24" s="204">
        <v>302400</v>
      </c>
      <c r="K24" s="205">
        <v>336000</v>
      </c>
      <c r="L24" s="205">
        <v>480000</v>
      </c>
      <c r="M24" s="205">
        <f>L24*1.2</f>
        <v>576000</v>
      </c>
      <c r="N24" s="205">
        <f t="shared" ref="N24:P24" si="9">M24*1.2</f>
        <v>691200</v>
      </c>
      <c r="O24" s="205">
        <f t="shared" si="9"/>
        <v>829440</v>
      </c>
      <c r="P24" s="205">
        <f t="shared" si="9"/>
        <v>995328</v>
      </c>
      <c r="Q24" s="204">
        <f t="shared" si="5"/>
        <v>1209600</v>
      </c>
      <c r="R24" s="204">
        <f t="shared" si="5"/>
        <v>2016000</v>
      </c>
      <c r="S24" s="204">
        <f t="shared" si="5"/>
        <v>3840000</v>
      </c>
      <c r="T24" s="204">
        <f t="shared" si="1"/>
        <v>5760000</v>
      </c>
      <c r="U24" s="204">
        <f t="shared" si="1"/>
        <v>3456000</v>
      </c>
      <c r="V24" s="204">
        <f t="shared" si="1"/>
        <v>4147200</v>
      </c>
      <c r="W24" s="442">
        <f t="shared" si="1"/>
        <v>4976640</v>
      </c>
    </row>
    <row r="25" spans="1:23">
      <c r="A25" s="651" t="s">
        <v>482</v>
      </c>
      <c r="B25" s="136" t="s">
        <v>483</v>
      </c>
      <c r="C25" s="133">
        <v>3</v>
      </c>
      <c r="D25" s="131">
        <v>15</v>
      </c>
      <c r="E25" s="121">
        <v>90</v>
      </c>
      <c r="F25" s="131">
        <v>50</v>
      </c>
      <c r="G25" s="431">
        <v>100</v>
      </c>
      <c r="H25" s="431">
        <v>100</v>
      </c>
      <c r="I25" s="431">
        <v>100</v>
      </c>
      <c r="J25" s="204">
        <v>183600</v>
      </c>
      <c r="K25" s="204">
        <v>183600</v>
      </c>
      <c r="L25" s="204">
        <v>255600</v>
      </c>
      <c r="M25" s="205">
        <f>L25*1.2</f>
        <v>306720</v>
      </c>
      <c r="N25" s="684">
        <v>0</v>
      </c>
      <c r="O25" s="684">
        <v>0</v>
      </c>
      <c r="P25" s="685">
        <v>0</v>
      </c>
      <c r="Q25" s="204">
        <f t="shared" si="5"/>
        <v>550800</v>
      </c>
      <c r="R25" s="204">
        <f t="shared" si="5"/>
        <v>2754000</v>
      </c>
      <c r="S25" s="204">
        <f t="shared" si="5"/>
        <v>23004000</v>
      </c>
      <c r="T25" s="204">
        <f t="shared" si="1"/>
        <v>15336000</v>
      </c>
      <c r="U25" s="204">
        <f>N25*G25</f>
        <v>0</v>
      </c>
      <c r="V25" s="204">
        <f t="shared" si="1"/>
        <v>0</v>
      </c>
      <c r="W25" s="442">
        <f t="shared" si="1"/>
        <v>0</v>
      </c>
    </row>
    <row r="26" spans="1:23">
      <c r="A26" s="651" t="s">
        <v>484</v>
      </c>
      <c r="B26" s="136"/>
      <c r="C26" s="133"/>
      <c r="D26" s="131"/>
      <c r="F26" s="131">
        <v>50</v>
      </c>
      <c r="G26" s="431">
        <v>100</v>
      </c>
      <c r="H26" s="431">
        <v>100</v>
      </c>
      <c r="I26" s="431">
        <v>100</v>
      </c>
      <c r="J26" s="204"/>
      <c r="K26" s="204"/>
      <c r="L26" s="204">
        <v>250000</v>
      </c>
      <c r="M26" s="205">
        <f>L26*1.2</f>
        <v>300000</v>
      </c>
      <c r="N26" s="684">
        <v>0</v>
      </c>
      <c r="O26" s="684">
        <v>0</v>
      </c>
      <c r="P26" s="685">
        <v>0</v>
      </c>
      <c r="Q26" s="204">
        <f t="shared" si="5"/>
        <v>0</v>
      </c>
      <c r="R26" s="204">
        <f t="shared" si="5"/>
        <v>0</v>
      </c>
      <c r="S26" s="204">
        <f t="shared" si="5"/>
        <v>0</v>
      </c>
      <c r="T26" s="204">
        <f t="shared" si="1"/>
        <v>15000000</v>
      </c>
      <c r="U26" s="204">
        <f t="shared" si="1"/>
        <v>0</v>
      </c>
      <c r="V26" s="204">
        <f t="shared" si="1"/>
        <v>0</v>
      </c>
      <c r="W26" s="442">
        <f t="shared" si="1"/>
        <v>0</v>
      </c>
    </row>
    <row r="27" spans="1:23">
      <c r="A27" s="651" t="s">
        <v>485</v>
      </c>
      <c r="B27" s="137" t="s">
        <v>474</v>
      </c>
      <c r="C27" s="133">
        <v>12</v>
      </c>
      <c r="D27" s="131">
        <v>8</v>
      </c>
      <c r="E27" s="121">
        <v>8</v>
      </c>
      <c r="F27" s="131">
        <v>15</v>
      </c>
      <c r="G27" s="121">
        <v>25</v>
      </c>
      <c r="H27" s="131">
        <v>35</v>
      </c>
      <c r="I27" s="132">
        <v>50</v>
      </c>
      <c r="J27" s="204">
        <v>183000</v>
      </c>
      <c r="K27" s="204">
        <v>183000</v>
      </c>
      <c r="L27" s="204">
        <v>222000</v>
      </c>
      <c r="M27" s="205">
        <f>L27*1.2</f>
        <v>266400</v>
      </c>
      <c r="N27" s="205">
        <f t="shared" ref="N27:P27" si="10">M27*1.2</f>
        <v>319680</v>
      </c>
      <c r="O27" s="205">
        <f t="shared" si="10"/>
        <v>383616</v>
      </c>
      <c r="P27" s="205">
        <f t="shared" si="10"/>
        <v>460339.20000000001</v>
      </c>
      <c r="Q27" s="204">
        <f t="shared" si="5"/>
        <v>2196000</v>
      </c>
      <c r="R27" s="204">
        <f t="shared" si="5"/>
        <v>1464000</v>
      </c>
      <c r="S27" s="204">
        <f t="shared" si="5"/>
        <v>1776000</v>
      </c>
      <c r="T27" s="204">
        <f t="shared" si="5"/>
        <v>3996000</v>
      </c>
      <c r="U27" s="204">
        <f t="shared" si="5"/>
        <v>7992000</v>
      </c>
      <c r="V27" s="204">
        <f t="shared" si="5"/>
        <v>13426560</v>
      </c>
      <c r="W27" s="442">
        <f t="shared" si="5"/>
        <v>23016960</v>
      </c>
    </row>
    <row r="28" spans="1:23">
      <c r="A28" s="651"/>
      <c r="B28" s="137"/>
      <c r="C28" s="133"/>
      <c r="D28" s="131"/>
      <c r="F28" s="131"/>
      <c r="H28" s="131"/>
      <c r="I28" s="132"/>
      <c r="J28" s="204"/>
      <c r="K28" s="429"/>
      <c r="L28" s="429"/>
      <c r="M28" s="205"/>
      <c r="N28" s="205"/>
      <c r="O28" s="205"/>
      <c r="P28" s="430"/>
      <c r="Q28" s="204"/>
      <c r="R28" s="204"/>
      <c r="S28" s="204"/>
      <c r="T28" s="204"/>
      <c r="U28" s="204"/>
      <c r="V28" s="204"/>
      <c r="W28" s="442"/>
    </row>
    <row r="29" spans="1:23">
      <c r="A29" s="135" t="s">
        <v>486</v>
      </c>
      <c r="B29" s="650"/>
      <c r="C29" s="133"/>
      <c r="D29" s="131"/>
      <c r="F29" s="131"/>
      <c r="H29" s="131"/>
      <c r="I29" s="132"/>
      <c r="J29" s="204">
        <v>0</v>
      </c>
      <c r="K29" s="205">
        <v>0</v>
      </c>
      <c r="L29" s="205">
        <v>0</v>
      </c>
      <c r="M29" s="205">
        <v>0</v>
      </c>
      <c r="N29" s="205">
        <v>0</v>
      </c>
      <c r="O29" s="205">
        <v>0</v>
      </c>
      <c r="P29" s="206">
        <v>0</v>
      </c>
      <c r="Q29" s="204">
        <f t="shared" si="5"/>
        <v>0</v>
      </c>
      <c r="R29" s="204">
        <f t="shared" si="5"/>
        <v>0</v>
      </c>
      <c r="S29" s="204">
        <f t="shared" si="5"/>
        <v>0</v>
      </c>
      <c r="T29" s="204">
        <f t="shared" si="5"/>
        <v>0</v>
      </c>
      <c r="U29" s="204">
        <f t="shared" si="5"/>
        <v>0</v>
      </c>
      <c r="V29" s="204">
        <f t="shared" si="5"/>
        <v>0</v>
      </c>
      <c r="W29" s="442">
        <f t="shared" si="5"/>
        <v>0</v>
      </c>
    </row>
    <row r="30" spans="1:23">
      <c r="A30" s="651" t="s">
        <v>487</v>
      </c>
      <c r="B30" s="136"/>
      <c r="C30" s="133">
        <v>1</v>
      </c>
      <c r="D30" s="131">
        <v>1</v>
      </c>
      <c r="E30" s="121">
        <v>1</v>
      </c>
      <c r="F30" s="131">
        <v>1</v>
      </c>
      <c r="G30" s="121">
        <v>1</v>
      </c>
      <c r="H30" s="131">
        <v>1</v>
      </c>
      <c r="I30" s="132">
        <v>1</v>
      </c>
      <c r="J30" s="204">
        <v>600000</v>
      </c>
      <c r="K30" s="205">
        <v>720000</v>
      </c>
      <c r="L30" s="205">
        <v>840000</v>
      </c>
      <c r="M30" s="205">
        <f>L30*1.2</f>
        <v>1008000</v>
      </c>
      <c r="N30" s="205">
        <f t="shared" ref="N30:P30" si="11">M30*1.2</f>
        <v>1209600</v>
      </c>
      <c r="O30" s="205">
        <f t="shared" si="11"/>
        <v>1451520</v>
      </c>
      <c r="P30" s="205">
        <f t="shared" si="11"/>
        <v>1741824</v>
      </c>
      <c r="Q30" s="204">
        <f t="shared" si="5"/>
        <v>600000</v>
      </c>
      <c r="R30" s="204">
        <f t="shared" si="5"/>
        <v>720000</v>
      </c>
      <c r="S30" s="204">
        <f t="shared" si="5"/>
        <v>840000</v>
      </c>
      <c r="T30" s="204">
        <f t="shared" si="5"/>
        <v>1008000</v>
      </c>
      <c r="U30" s="204">
        <f t="shared" si="5"/>
        <v>1209600</v>
      </c>
      <c r="V30" s="204">
        <f t="shared" si="5"/>
        <v>1451520</v>
      </c>
      <c r="W30" s="442">
        <f t="shared" si="5"/>
        <v>1741824</v>
      </c>
    </row>
    <row r="31" spans="1:23">
      <c r="A31" s="651" t="s">
        <v>479</v>
      </c>
      <c r="B31" s="136"/>
      <c r="C31" s="133">
        <v>1</v>
      </c>
      <c r="D31" s="131">
        <v>2</v>
      </c>
      <c r="E31" s="121">
        <v>2</v>
      </c>
      <c r="F31" s="131">
        <v>3</v>
      </c>
      <c r="G31" s="121">
        <v>3</v>
      </c>
      <c r="H31" s="131">
        <v>3</v>
      </c>
      <c r="I31" s="132">
        <v>4</v>
      </c>
      <c r="J31" s="204">
        <v>255600</v>
      </c>
      <c r="K31" s="205">
        <v>420000</v>
      </c>
      <c r="L31" s="205">
        <v>600000</v>
      </c>
      <c r="M31" s="205">
        <f t="shared" ref="M31:P31" si="12">L31*1.2</f>
        <v>720000</v>
      </c>
      <c r="N31" s="205">
        <f t="shared" si="12"/>
        <v>864000</v>
      </c>
      <c r="O31" s="205">
        <f t="shared" si="12"/>
        <v>1036800</v>
      </c>
      <c r="P31" s="205">
        <f t="shared" si="12"/>
        <v>1244160</v>
      </c>
      <c r="Q31" s="204">
        <f t="shared" si="5"/>
        <v>255600</v>
      </c>
      <c r="R31" s="204">
        <f t="shared" si="5"/>
        <v>840000</v>
      </c>
      <c r="S31" s="204">
        <f t="shared" si="5"/>
        <v>1200000</v>
      </c>
      <c r="T31" s="204">
        <f t="shared" si="5"/>
        <v>2160000</v>
      </c>
      <c r="U31" s="204">
        <f t="shared" si="5"/>
        <v>2592000</v>
      </c>
      <c r="V31" s="204">
        <f t="shared" si="5"/>
        <v>3110400</v>
      </c>
      <c r="W31" s="442">
        <f t="shared" si="5"/>
        <v>4976640</v>
      </c>
    </row>
    <row r="32" spans="1:23">
      <c r="A32" s="651" t="s">
        <v>488</v>
      </c>
      <c r="B32" s="136"/>
      <c r="C32" s="133">
        <v>5</v>
      </c>
      <c r="D32" s="131">
        <v>5</v>
      </c>
      <c r="E32" s="121">
        <v>7</v>
      </c>
      <c r="F32" s="131">
        <v>10</v>
      </c>
      <c r="G32" s="121">
        <v>15</v>
      </c>
      <c r="H32" s="131">
        <v>18</v>
      </c>
      <c r="I32" s="132">
        <v>20</v>
      </c>
      <c r="J32" s="204">
        <v>183600</v>
      </c>
      <c r="K32" s="204">
        <v>183600</v>
      </c>
      <c r="L32" s="205">
        <v>222000</v>
      </c>
      <c r="M32" s="205">
        <f t="shared" ref="M32:P32" si="13">L32*1.2</f>
        <v>266400</v>
      </c>
      <c r="N32" s="205">
        <f t="shared" si="13"/>
        <v>319680</v>
      </c>
      <c r="O32" s="205">
        <f t="shared" si="13"/>
        <v>383616</v>
      </c>
      <c r="P32" s="205">
        <f t="shared" si="13"/>
        <v>460339.20000000001</v>
      </c>
      <c r="Q32" s="204">
        <f t="shared" si="5"/>
        <v>918000</v>
      </c>
      <c r="R32" s="204">
        <f t="shared" si="5"/>
        <v>918000</v>
      </c>
      <c r="S32" s="204">
        <f t="shared" si="5"/>
        <v>1554000</v>
      </c>
      <c r="T32" s="204">
        <f t="shared" si="5"/>
        <v>2664000</v>
      </c>
      <c r="U32" s="204">
        <f t="shared" si="5"/>
        <v>4795200</v>
      </c>
      <c r="V32" s="204">
        <f t="shared" si="5"/>
        <v>6905088</v>
      </c>
      <c r="W32" s="442">
        <f t="shared" si="5"/>
        <v>9206784</v>
      </c>
    </row>
    <row r="33" spans="1:23">
      <c r="A33" s="651"/>
      <c r="B33" s="136"/>
      <c r="C33" s="133"/>
      <c r="D33" s="131"/>
      <c r="F33" s="131"/>
      <c r="H33" s="131"/>
      <c r="I33" s="132"/>
      <c r="J33" s="204"/>
      <c r="K33" s="205"/>
      <c r="L33" s="205"/>
      <c r="M33" s="205"/>
      <c r="N33" s="205"/>
      <c r="O33" s="205"/>
      <c r="P33" s="206"/>
      <c r="Q33" s="204">
        <f t="shared" si="5"/>
        <v>0</v>
      </c>
      <c r="R33" s="204">
        <f t="shared" si="5"/>
        <v>0</v>
      </c>
      <c r="S33" s="204">
        <f t="shared" si="5"/>
        <v>0</v>
      </c>
      <c r="T33" s="204">
        <f t="shared" si="5"/>
        <v>0</v>
      </c>
      <c r="U33" s="204">
        <f t="shared" si="5"/>
        <v>0</v>
      </c>
      <c r="V33" s="204">
        <f t="shared" si="5"/>
        <v>0</v>
      </c>
      <c r="W33" s="442">
        <f t="shared" si="5"/>
        <v>0</v>
      </c>
    </row>
    <row r="34" spans="1:23">
      <c r="A34" s="135" t="s">
        <v>489</v>
      </c>
      <c r="B34" s="650"/>
      <c r="C34" s="133"/>
      <c r="D34" s="131"/>
      <c r="F34" s="131"/>
      <c r="H34" s="131"/>
      <c r="I34" s="132"/>
      <c r="J34" s="204">
        <v>0</v>
      </c>
      <c r="K34" s="205">
        <v>0</v>
      </c>
      <c r="L34" s="205">
        <v>0</v>
      </c>
      <c r="M34" s="205">
        <v>0</v>
      </c>
      <c r="N34" s="205">
        <v>0</v>
      </c>
      <c r="O34" s="205">
        <v>0</v>
      </c>
      <c r="P34" s="206">
        <v>0</v>
      </c>
      <c r="Q34" s="204">
        <f t="shared" si="5"/>
        <v>0</v>
      </c>
      <c r="R34" s="204">
        <f t="shared" si="5"/>
        <v>0</v>
      </c>
      <c r="S34" s="204">
        <f t="shared" si="5"/>
        <v>0</v>
      </c>
      <c r="T34" s="204">
        <f t="shared" si="5"/>
        <v>0</v>
      </c>
      <c r="U34" s="204">
        <f t="shared" si="5"/>
        <v>0</v>
      </c>
      <c r="V34" s="204">
        <f t="shared" si="5"/>
        <v>0</v>
      </c>
      <c r="W34" s="442">
        <f t="shared" si="5"/>
        <v>0</v>
      </c>
    </row>
    <row r="35" spans="1:23">
      <c r="A35" s="651" t="s">
        <v>478</v>
      </c>
      <c r="B35" s="136"/>
      <c r="C35" s="133">
        <v>1</v>
      </c>
      <c r="D35" s="131">
        <v>1</v>
      </c>
      <c r="E35" s="121">
        <v>1</v>
      </c>
      <c r="F35" s="131">
        <v>2</v>
      </c>
      <c r="G35" s="121">
        <v>3</v>
      </c>
      <c r="H35" s="131">
        <v>4</v>
      </c>
      <c r="I35" s="132">
        <v>5</v>
      </c>
      <c r="J35" s="204">
        <v>183000</v>
      </c>
      <c r="K35" s="205">
        <v>255600</v>
      </c>
      <c r="L35" s="205">
        <v>420000</v>
      </c>
      <c r="M35" s="205">
        <f t="shared" ref="M35:P36" si="14">L35*1.2</f>
        <v>504000</v>
      </c>
      <c r="N35" s="205">
        <f t="shared" si="14"/>
        <v>604800</v>
      </c>
      <c r="O35" s="205">
        <f t="shared" si="14"/>
        <v>725760</v>
      </c>
      <c r="P35" s="205">
        <f t="shared" si="14"/>
        <v>870912</v>
      </c>
      <c r="Q35" s="204">
        <f t="shared" si="5"/>
        <v>183000</v>
      </c>
      <c r="R35" s="204">
        <f t="shared" si="5"/>
        <v>255600</v>
      </c>
      <c r="S35" s="204">
        <f t="shared" si="5"/>
        <v>420000</v>
      </c>
      <c r="T35" s="204">
        <f t="shared" si="5"/>
        <v>1008000</v>
      </c>
      <c r="U35" s="204">
        <f t="shared" si="5"/>
        <v>1814400</v>
      </c>
      <c r="V35" s="204">
        <f t="shared" si="5"/>
        <v>2903040</v>
      </c>
      <c r="W35" s="442">
        <f t="shared" si="5"/>
        <v>4354560</v>
      </c>
    </row>
    <row r="36" spans="1:23">
      <c r="A36" s="138" t="s">
        <v>488</v>
      </c>
      <c r="B36" s="136"/>
      <c r="C36" s="133">
        <v>1</v>
      </c>
      <c r="D36" s="131">
        <v>2</v>
      </c>
      <c r="E36" s="121">
        <v>2</v>
      </c>
      <c r="F36" s="131">
        <v>5</v>
      </c>
      <c r="G36" s="121">
        <v>10</v>
      </c>
      <c r="H36" s="131">
        <v>25</v>
      </c>
      <c r="I36" s="132">
        <v>50</v>
      </c>
      <c r="J36" s="204">
        <v>183000</v>
      </c>
      <c r="K36" s="204">
        <v>183000</v>
      </c>
      <c r="L36" s="204">
        <v>183000</v>
      </c>
      <c r="M36" s="205">
        <f t="shared" si="14"/>
        <v>219600</v>
      </c>
      <c r="N36" s="205">
        <f t="shared" si="14"/>
        <v>263520</v>
      </c>
      <c r="O36" s="205">
        <f t="shared" si="14"/>
        <v>316224</v>
      </c>
      <c r="P36" s="205">
        <f t="shared" si="14"/>
        <v>379468.79999999999</v>
      </c>
      <c r="Q36" s="204">
        <f t="shared" si="5"/>
        <v>183000</v>
      </c>
      <c r="R36" s="204">
        <f t="shared" si="5"/>
        <v>366000</v>
      </c>
      <c r="S36" s="204">
        <f t="shared" si="5"/>
        <v>366000</v>
      </c>
      <c r="T36" s="204">
        <f t="shared" si="5"/>
        <v>1098000</v>
      </c>
      <c r="U36" s="204">
        <f t="shared" si="5"/>
        <v>2635200</v>
      </c>
      <c r="V36" s="204">
        <f t="shared" si="5"/>
        <v>7905600</v>
      </c>
      <c r="W36" s="442">
        <f t="shared" si="5"/>
        <v>18973440</v>
      </c>
    </row>
    <row r="37" spans="1:23">
      <c r="A37" s="138"/>
      <c r="B37" s="136"/>
      <c r="C37" s="133"/>
      <c r="D37" s="131"/>
      <c r="F37" s="131"/>
      <c r="H37" s="131"/>
      <c r="I37" s="132"/>
      <c r="J37" s="204"/>
      <c r="K37" s="429"/>
      <c r="L37" s="429"/>
      <c r="M37" s="205"/>
      <c r="N37" s="205"/>
      <c r="O37" s="205"/>
      <c r="P37" s="206"/>
      <c r="Q37" s="204"/>
      <c r="R37" s="204"/>
      <c r="S37" s="204"/>
      <c r="T37" s="204"/>
      <c r="U37" s="204"/>
      <c r="V37" s="204"/>
      <c r="W37" s="442"/>
    </row>
    <row r="38" spans="1:23">
      <c r="A38" s="135" t="s">
        <v>490</v>
      </c>
      <c r="B38" s="136"/>
      <c r="C38" s="133"/>
      <c r="D38" s="131"/>
      <c r="F38" s="131"/>
      <c r="H38" s="131"/>
      <c r="I38" s="132"/>
      <c r="J38" s="204"/>
      <c r="K38" s="205"/>
      <c r="L38" s="205"/>
      <c r="M38" s="205"/>
      <c r="N38" s="205"/>
      <c r="O38" s="205"/>
      <c r="P38" s="206"/>
      <c r="Q38" s="204">
        <f t="shared" si="5"/>
        <v>0</v>
      </c>
      <c r="R38" s="204">
        <f t="shared" si="5"/>
        <v>0</v>
      </c>
      <c r="S38" s="204">
        <f t="shared" si="5"/>
        <v>0</v>
      </c>
      <c r="T38" s="204">
        <f t="shared" si="5"/>
        <v>0</v>
      </c>
      <c r="U38" s="204">
        <f t="shared" si="5"/>
        <v>0</v>
      </c>
      <c r="V38" s="204">
        <f t="shared" si="5"/>
        <v>0</v>
      </c>
      <c r="W38" s="442">
        <f t="shared" si="5"/>
        <v>0</v>
      </c>
    </row>
    <row r="39" spans="1:23">
      <c r="A39" s="651" t="s">
        <v>478</v>
      </c>
      <c r="B39" s="136" t="s">
        <v>474</v>
      </c>
      <c r="C39" s="133">
        <v>2</v>
      </c>
      <c r="D39" s="131">
        <v>3</v>
      </c>
      <c r="E39" s="121">
        <v>4</v>
      </c>
      <c r="F39" s="131">
        <v>5</v>
      </c>
      <c r="G39" s="121">
        <v>6</v>
      </c>
      <c r="H39" s="131">
        <v>7</v>
      </c>
      <c r="I39" s="132">
        <v>10</v>
      </c>
      <c r="J39" s="204">
        <v>255600</v>
      </c>
      <c r="K39" s="205">
        <v>300000</v>
      </c>
      <c r="L39" s="205">
        <v>420000</v>
      </c>
      <c r="M39" s="205">
        <f t="shared" ref="M39:P39" si="15">L39*1.2</f>
        <v>504000</v>
      </c>
      <c r="N39" s="205">
        <f t="shared" si="15"/>
        <v>604800</v>
      </c>
      <c r="O39" s="205">
        <f t="shared" si="15"/>
        <v>725760</v>
      </c>
      <c r="P39" s="205">
        <f t="shared" si="15"/>
        <v>870912</v>
      </c>
      <c r="Q39" s="204">
        <f t="shared" si="5"/>
        <v>511200</v>
      </c>
      <c r="R39" s="204">
        <f t="shared" si="5"/>
        <v>900000</v>
      </c>
      <c r="S39" s="204">
        <f t="shared" si="5"/>
        <v>1680000</v>
      </c>
      <c r="T39" s="204">
        <f t="shared" si="5"/>
        <v>2520000</v>
      </c>
      <c r="U39" s="204">
        <f t="shared" si="5"/>
        <v>3628800</v>
      </c>
      <c r="V39" s="204">
        <f t="shared" si="5"/>
        <v>5080320</v>
      </c>
      <c r="W39" s="442">
        <f t="shared" si="5"/>
        <v>8709120</v>
      </c>
    </row>
    <row r="40" spans="1:23">
      <c r="A40" s="651" t="s">
        <v>491</v>
      </c>
      <c r="B40" s="136" t="s">
        <v>474</v>
      </c>
      <c r="C40" s="133">
        <v>1</v>
      </c>
      <c r="D40" s="131">
        <v>1</v>
      </c>
      <c r="E40" s="121">
        <v>2</v>
      </c>
      <c r="F40" s="131">
        <v>3</v>
      </c>
      <c r="G40" s="121">
        <v>5</v>
      </c>
      <c r="H40" s="131">
        <v>7</v>
      </c>
      <c r="I40" s="132">
        <v>10</v>
      </c>
      <c r="J40" s="204">
        <v>183000</v>
      </c>
      <c r="K40" s="205">
        <v>222000</v>
      </c>
      <c r="L40" s="205">
        <v>282000</v>
      </c>
      <c r="M40" s="205">
        <f t="shared" ref="M40:P40" si="16">L40*1.2</f>
        <v>338400</v>
      </c>
      <c r="N40" s="205">
        <f t="shared" si="16"/>
        <v>406080</v>
      </c>
      <c r="O40" s="205">
        <f t="shared" si="16"/>
        <v>487296</v>
      </c>
      <c r="P40" s="205">
        <f t="shared" si="16"/>
        <v>584755.19999999995</v>
      </c>
      <c r="Q40" s="204">
        <f t="shared" si="5"/>
        <v>183000</v>
      </c>
      <c r="R40" s="204">
        <f t="shared" si="5"/>
        <v>222000</v>
      </c>
      <c r="S40" s="204">
        <f t="shared" si="5"/>
        <v>564000</v>
      </c>
      <c r="T40" s="204">
        <f t="shared" si="5"/>
        <v>1015200</v>
      </c>
      <c r="U40" s="204">
        <f t="shared" si="5"/>
        <v>2030400</v>
      </c>
      <c r="V40" s="204">
        <f t="shared" si="5"/>
        <v>3411072</v>
      </c>
      <c r="W40" s="442">
        <f t="shared" si="5"/>
        <v>5847552</v>
      </c>
    </row>
    <row r="41" spans="1:23">
      <c r="A41" s="651" t="s">
        <v>488</v>
      </c>
      <c r="B41" s="136" t="s">
        <v>474</v>
      </c>
      <c r="C41" s="133">
        <v>5</v>
      </c>
      <c r="D41" s="131">
        <v>5</v>
      </c>
      <c r="E41" s="121">
        <v>8</v>
      </c>
      <c r="F41" s="131">
        <v>10</v>
      </c>
      <c r="G41" s="121">
        <v>15</v>
      </c>
      <c r="H41" s="131">
        <v>20</v>
      </c>
      <c r="I41" s="132">
        <v>26</v>
      </c>
      <c r="J41" s="204">
        <v>183000</v>
      </c>
      <c r="K41" s="205">
        <v>222000</v>
      </c>
      <c r="L41" s="205">
        <v>282000</v>
      </c>
      <c r="M41" s="205">
        <f t="shared" ref="M41:P41" si="17">L41*1.2</f>
        <v>338400</v>
      </c>
      <c r="N41" s="205">
        <f t="shared" si="17"/>
        <v>406080</v>
      </c>
      <c r="O41" s="205">
        <f t="shared" si="17"/>
        <v>487296</v>
      </c>
      <c r="P41" s="205">
        <f t="shared" si="17"/>
        <v>584755.19999999995</v>
      </c>
      <c r="Q41" s="204">
        <f t="shared" si="5"/>
        <v>915000</v>
      </c>
      <c r="R41" s="204">
        <f t="shared" si="5"/>
        <v>1110000</v>
      </c>
      <c r="S41" s="204">
        <f t="shared" si="5"/>
        <v>2256000</v>
      </c>
      <c r="T41" s="204">
        <f t="shared" si="5"/>
        <v>3384000</v>
      </c>
      <c r="U41" s="204">
        <f t="shared" si="5"/>
        <v>6091200</v>
      </c>
      <c r="V41" s="204">
        <f t="shared" si="5"/>
        <v>9745920</v>
      </c>
      <c r="W41" s="442">
        <f t="shared" si="5"/>
        <v>15203635.199999999</v>
      </c>
    </row>
    <row r="42" spans="1:23">
      <c r="A42" s="138"/>
      <c r="B42" s="136"/>
      <c r="C42" s="133"/>
      <c r="D42" s="131"/>
      <c r="F42" s="131"/>
      <c r="H42" s="131"/>
      <c r="I42" s="132"/>
      <c r="J42" s="204">
        <v>0</v>
      </c>
      <c r="K42" s="205">
        <v>0</v>
      </c>
      <c r="L42" s="205">
        <v>0</v>
      </c>
      <c r="M42" s="205">
        <v>0</v>
      </c>
      <c r="N42" s="205">
        <v>0</v>
      </c>
      <c r="O42" s="205">
        <v>0</v>
      </c>
      <c r="P42" s="206">
        <v>0</v>
      </c>
      <c r="Q42" s="204">
        <f t="shared" si="5"/>
        <v>0</v>
      </c>
      <c r="R42" s="204">
        <f t="shared" si="5"/>
        <v>0</v>
      </c>
      <c r="S42" s="204">
        <f t="shared" si="5"/>
        <v>0</v>
      </c>
      <c r="T42" s="204">
        <f t="shared" si="5"/>
        <v>0</v>
      </c>
      <c r="U42" s="204">
        <f t="shared" si="5"/>
        <v>0</v>
      </c>
      <c r="V42" s="204">
        <f t="shared" si="5"/>
        <v>0</v>
      </c>
      <c r="W42" s="442">
        <f t="shared" si="5"/>
        <v>0</v>
      </c>
    </row>
    <row r="43" spans="1:23">
      <c r="A43" s="135" t="s">
        <v>492</v>
      </c>
      <c r="B43" s="136"/>
      <c r="C43" s="133"/>
      <c r="D43" s="131"/>
      <c r="F43" s="131"/>
      <c r="G43" s="134"/>
      <c r="H43" s="649"/>
      <c r="I43" s="132"/>
      <c r="J43" s="208"/>
      <c r="K43" s="205"/>
      <c r="L43" s="209"/>
      <c r="M43" s="205"/>
      <c r="N43" s="206"/>
      <c r="O43" s="429"/>
      <c r="P43" s="210"/>
      <c r="Q43" s="204"/>
      <c r="R43" s="205"/>
      <c r="S43" s="205"/>
      <c r="T43" s="205"/>
      <c r="U43" s="205"/>
      <c r="V43" s="205"/>
      <c r="W43" s="206"/>
    </row>
    <row r="44" spans="1:23">
      <c r="A44" s="138" t="s">
        <v>493</v>
      </c>
      <c r="B44" s="136"/>
      <c r="C44" s="133"/>
      <c r="D44" s="131"/>
      <c r="F44" s="131"/>
      <c r="G44" s="134">
        <v>1</v>
      </c>
      <c r="H44" s="649">
        <v>1</v>
      </c>
      <c r="I44" s="121">
        <v>1</v>
      </c>
      <c r="J44" s="208"/>
      <c r="K44" s="205"/>
      <c r="L44" s="209"/>
      <c r="M44" s="205"/>
      <c r="N44" s="206">
        <v>3000000</v>
      </c>
      <c r="O44" s="210">
        <f>N44*1.2</f>
        <v>3600000</v>
      </c>
      <c r="P44" s="209">
        <f>O44*1.2</f>
        <v>4320000</v>
      </c>
      <c r="Q44" s="204">
        <f t="shared" ref="Q44:Q47" si="18">J44*C44</f>
        <v>0</v>
      </c>
      <c r="R44" s="204">
        <f t="shared" ref="R44:R47" si="19">K44*D44</f>
        <v>0</v>
      </c>
      <c r="S44" s="204">
        <f t="shared" ref="S44:S47" si="20">L44*E44</f>
        <v>0</v>
      </c>
      <c r="T44" s="204">
        <f t="shared" ref="T44:T47" si="21">M44*F44</f>
        <v>0</v>
      </c>
      <c r="U44" s="204">
        <f t="shared" ref="U44:U47" si="22">N44*G44</f>
        <v>3000000</v>
      </c>
      <c r="V44" s="204">
        <f>O44*H44</f>
        <v>3600000</v>
      </c>
      <c r="W44" s="442">
        <f t="shared" ref="W44:W47" si="23">P44*I44</f>
        <v>4320000</v>
      </c>
    </row>
    <row r="45" spans="1:23">
      <c r="A45" s="138" t="s">
        <v>302</v>
      </c>
      <c r="B45" s="136"/>
      <c r="C45" s="133"/>
      <c r="D45" s="131"/>
      <c r="F45" s="131"/>
      <c r="G45" s="134">
        <v>1</v>
      </c>
      <c r="H45" s="649">
        <v>1</v>
      </c>
      <c r="I45" s="121">
        <v>1</v>
      </c>
      <c r="J45" s="208"/>
      <c r="K45" s="205"/>
      <c r="L45" s="209"/>
      <c r="M45" s="205"/>
      <c r="N45" s="206">
        <v>3000000</v>
      </c>
      <c r="O45" s="210">
        <f t="shared" ref="O45:P47" si="24">N45*1.2</f>
        <v>3600000</v>
      </c>
      <c r="P45" s="209">
        <f t="shared" si="24"/>
        <v>4320000</v>
      </c>
      <c r="Q45" s="204">
        <f t="shared" si="18"/>
        <v>0</v>
      </c>
      <c r="R45" s="204">
        <f t="shared" si="19"/>
        <v>0</v>
      </c>
      <c r="S45" s="204">
        <f t="shared" si="20"/>
        <v>0</v>
      </c>
      <c r="T45" s="204">
        <f t="shared" si="21"/>
        <v>0</v>
      </c>
      <c r="U45" s="204">
        <f t="shared" si="22"/>
        <v>3000000</v>
      </c>
      <c r="V45" s="204">
        <f t="shared" ref="V45:V47" si="25">O45*H45</f>
        <v>3600000</v>
      </c>
      <c r="W45" s="442">
        <f t="shared" si="23"/>
        <v>4320000</v>
      </c>
    </row>
    <row r="46" spans="1:23">
      <c r="A46" s="138" t="s">
        <v>305</v>
      </c>
      <c r="B46" s="136"/>
      <c r="C46" s="133"/>
      <c r="D46" s="131"/>
      <c r="F46" s="131"/>
      <c r="G46" s="134">
        <v>1</v>
      </c>
      <c r="H46" s="649">
        <v>1</v>
      </c>
      <c r="I46" s="121">
        <v>1</v>
      </c>
      <c r="J46" s="208"/>
      <c r="K46" s="205"/>
      <c r="L46" s="209"/>
      <c r="M46" s="205"/>
      <c r="N46" s="206">
        <v>3000000</v>
      </c>
      <c r="O46" s="210">
        <f t="shared" si="24"/>
        <v>3600000</v>
      </c>
      <c r="P46" s="209">
        <f t="shared" si="24"/>
        <v>4320000</v>
      </c>
      <c r="Q46" s="204">
        <f t="shared" si="18"/>
        <v>0</v>
      </c>
      <c r="R46" s="204">
        <f t="shared" si="19"/>
        <v>0</v>
      </c>
      <c r="S46" s="204">
        <f t="shared" si="20"/>
        <v>0</v>
      </c>
      <c r="T46" s="204">
        <f t="shared" si="21"/>
        <v>0</v>
      </c>
      <c r="U46" s="204">
        <f t="shared" si="22"/>
        <v>3000000</v>
      </c>
      <c r="V46" s="204">
        <f t="shared" si="25"/>
        <v>3600000</v>
      </c>
      <c r="W46" s="442">
        <f t="shared" si="23"/>
        <v>4320000</v>
      </c>
    </row>
    <row r="47" spans="1:23">
      <c r="A47" s="138" t="s">
        <v>494</v>
      </c>
      <c r="B47" s="136"/>
      <c r="C47" s="133"/>
      <c r="D47" s="131"/>
      <c r="F47" s="131"/>
      <c r="G47" s="134">
        <v>1</v>
      </c>
      <c r="H47" s="649">
        <v>1</v>
      </c>
      <c r="I47" s="121">
        <v>1</v>
      </c>
      <c r="J47" s="208"/>
      <c r="K47" s="205"/>
      <c r="L47" s="209"/>
      <c r="M47" s="205"/>
      <c r="N47" s="206">
        <v>3000000</v>
      </c>
      <c r="O47" s="210">
        <f t="shared" si="24"/>
        <v>3600000</v>
      </c>
      <c r="P47" s="209">
        <f t="shared" si="24"/>
        <v>4320000</v>
      </c>
      <c r="Q47" s="204">
        <f t="shared" si="18"/>
        <v>0</v>
      </c>
      <c r="R47" s="204">
        <f t="shared" si="19"/>
        <v>0</v>
      </c>
      <c r="S47" s="204">
        <f t="shared" si="20"/>
        <v>0</v>
      </c>
      <c r="T47" s="204">
        <f t="shared" si="21"/>
        <v>0</v>
      </c>
      <c r="U47" s="204">
        <f t="shared" si="22"/>
        <v>3000000</v>
      </c>
      <c r="V47" s="204">
        <f t="shared" si="25"/>
        <v>3600000</v>
      </c>
      <c r="W47" s="442">
        <f t="shared" si="23"/>
        <v>4320000</v>
      </c>
    </row>
    <row r="48" spans="1:23">
      <c r="B48" s="136"/>
      <c r="C48" s="133"/>
      <c r="D48" s="131"/>
      <c r="F48" s="131"/>
      <c r="G48" s="134"/>
      <c r="H48" s="140"/>
      <c r="I48" s="132"/>
      <c r="J48" s="208"/>
      <c r="K48" s="205"/>
      <c r="L48" s="209"/>
      <c r="M48" s="205"/>
      <c r="N48" s="206"/>
      <c r="O48" s="210"/>
      <c r="P48" s="210"/>
      <c r="Q48" s="204"/>
      <c r="R48" s="205"/>
      <c r="S48" s="205"/>
      <c r="T48" s="205"/>
      <c r="U48" s="205"/>
      <c r="V48" s="205"/>
      <c r="W48" s="206"/>
    </row>
    <row r="49" spans="1:23">
      <c r="A49" s="139" t="s">
        <v>495</v>
      </c>
      <c r="B49" s="136"/>
      <c r="C49" s="133"/>
      <c r="D49" s="131"/>
      <c r="F49" s="131"/>
      <c r="H49" s="131"/>
      <c r="I49" s="132"/>
      <c r="J49" s="208"/>
      <c r="K49" s="205"/>
      <c r="L49" s="209"/>
      <c r="M49" s="205"/>
      <c r="N49" s="206"/>
      <c r="O49" s="429"/>
      <c r="P49" s="210"/>
      <c r="Q49" s="204"/>
      <c r="R49" s="205"/>
      <c r="S49" s="205"/>
      <c r="T49" s="205"/>
      <c r="U49" s="205"/>
      <c r="V49" s="205"/>
      <c r="W49" s="206"/>
    </row>
    <row r="50" spans="1:23">
      <c r="A50" s="139"/>
      <c r="B50" s="136"/>
      <c r="C50" s="133"/>
      <c r="D50" s="131"/>
      <c r="F50" s="131"/>
      <c r="H50" s="131"/>
      <c r="I50" s="132"/>
      <c r="J50" s="208"/>
      <c r="K50" s="205"/>
      <c r="L50" s="209"/>
      <c r="M50" s="205"/>
      <c r="N50" s="209"/>
      <c r="O50" s="205"/>
      <c r="P50" s="210"/>
      <c r="Q50" s="204"/>
      <c r="R50" s="205"/>
      <c r="S50" s="205"/>
      <c r="T50" s="205"/>
      <c r="U50" s="205"/>
      <c r="V50" s="205"/>
      <c r="W50" s="206"/>
    </row>
    <row r="51" spans="1:23" ht="18">
      <c r="A51" s="216" t="s">
        <v>460</v>
      </c>
      <c r="B51" s="136"/>
      <c r="C51" s="133"/>
      <c r="D51" s="131"/>
      <c r="F51" s="131"/>
      <c r="H51" s="131"/>
      <c r="I51" s="132"/>
      <c r="J51" s="208"/>
      <c r="K51" s="205"/>
      <c r="L51" s="209"/>
      <c r="M51" s="205"/>
      <c r="N51" s="209"/>
      <c r="O51" s="205"/>
      <c r="P51" s="210"/>
      <c r="Q51" s="204"/>
      <c r="R51" s="205"/>
      <c r="S51" s="205"/>
      <c r="T51" s="205"/>
      <c r="U51" s="205"/>
      <c r="V51" s="205"/>
      <c r="W51" s="206"/>
    </row>
    <row r="52" spans="1:23">
      <c r="A52" s="139"/>
      <c r="B52" s="136"/>
      <c r="C52" s="133"/>
      <c r="D52" s="131"/>
      <c r="F52" s="131"/>
      <c r="H52" s="131"/>
      <c r="I52" s="132"/>
      <c r="J52" s="208"/>
      <c r="K52" s="205"/>
      <c r="L52" s="209"/>
      <c r="M52" s="205"/>
      <c r="N52" s="209"/>
      <c r="O52" s="205"/>
      <c r="P52" s="210"/>
      <c r="Q52" s="204"/>
      <c r="R52" s="205"/>
      <c r="S52" s="205"/>
      <c r="T52" s="205"/>
      <c r="U52" s="205"/>
      <c r="V52" s="205"/>
      <c r="W52" s="206"/>
    </row>
    <row r="53" spans="1:23">
      <c r="A53" s="140"/>
      <c r="B53" s="137"/>
      <c r="C53" s="133"/>
      <c r="D53" s="131"/>
      <c r="F53" s="131"/>
      <c r="H53" s="131"/>
      <c r="I53" s="132"/>
      <c r="J53" s="208"/>
      <c r="K53" s="205"/>
      <c r="L53" s="209"/>
      <c r="M53" s="205"/>
      <c r="N53" s="209"/>
      <c r="O53" s="205"/>
      <c r="P53" s="210"/>
      <c r="Q53" s="204"/>
      <c r="R53" s="205"/>
      <c r="S53" s="205"/>
      <c r="T53" s="205"/>
      <c r="U53" s="205"/>
      <c r="V53" s="205"/>
      <c r="W53" s="206"/>
    </row>
    <row r="54" spans="1:23" ht="14.5" thickBot="1">
      <c r="A54" s="211" t="s">
        <v>299</v>
      </c>
      <c r="B54" s="212"/>
      <c r="C54" s="211">
        <f t="shared" ref="C54:I54" si="26">SUM(C11:C53)</f>
        <v>42</v>
      </c>
      <c r="D54" s="211">
        <f t="shared" si="26"/>
        <v>56</v>
      </c>
      <c r="E54" s="211">
        <f t="shared" si="26"/>
        <v>142</v>
      </c>
      <c r="F54" s="211">
        <f t="shared" si="26"/>
        <v>177</v>
      </c>
      <c r="G54" s="211">
        <f t="shared" si="26"/>
        <v>307</v>
      </c>
      <c r="H54" s="211">
        <f t="shared" si="26"/>
        <v>345</v>
      </c>
      <c r="I54" s="211">
        <f t="shared" si="26"/>
        <v>402</v>
      </c>
      <c r="J54" s="213"/>
      <c r="K54" s="213"/>
      <c r="L54" s="213"/>
      <c r="M54" s="213"/>
      <c r="N54" s="213"/>
      <c r="O54" s="213"/>
      <c r="P54" s="213"/>
      <c r="Q54" s="213">
        <f t="shared" ref="Q54:W54" si="27">SUM(Q11:Q53)</f>
        <v>12408000</v>
      </c>
      <c r="R54" s="213">
        <f t="shared" si="27"/>
        <v>16804800</v>
      </c>
      <c r="S54" s="213">
        <f t="shared" si="27"/>
        <v>44220000</v>
      </c>
      <c r="T54" s="213">
        <f>SUM(T11:T53)</f>
        <v>72277200</v>
      </c>
      <c r="U54" s="213">
        <f t="shared" si="27"/>
        <v>71275200</v>
      </c>
      <c r="V54" s="213">
        <f t="shared" si="27"/>
        <v>102201600</v>
      </c>
      <c r="W54" s="443">
        <f t="shared" si="27"/>
        <v>152595091.19999999</v>
      </c>
    </row>
    <row r="55" spans="1:23" ht="14.5" thickTop="1">
      <c r="A55" s="143" t="s">
        <v>496</v>
      </c>
      <c r="B55" s="190">
        <v>0.1</v>
      </c>
      <c r="Q55" s="652"/>
      <c r="R55" s="652"/>
      <c r="S55" s="652"/>
      <c r="T55" s="652">
        <f>T54*$B$55</f>
        <v>7227720</v>
      </c>
      <c r="U55" s="652">
        <f t="shared" ref="U55:W55" si="28">U54*$B$55</f>
        <v>7127520</v>
      </c>
      <c r="V55" s="652">
        <f t="shared" si="28"/>
        <v>10220160</v>
      </c>
      <c r="W55" s="652">
        <f t="shared" si="28"/>
        <v>15259509.119999999</v>
      </c>
    </row>
    <row r="56" spans="1:23" ht="14.5" thickBot="1">
      <c r="A56" s="144" t="s">
        <v>299</v>
      </c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214">
        <f>SUM(Q54:Q55)</f>
        <v>12408000</v>
      </c>
      <c r="R56" s="214">
        <f t="shared" ref="R56:W56" si="29">SUM(R54:R55)</f>
        <v>16804800</v>
      </c>
      <c r="S56" s="214">
        <f t="shared" si="29"/>
        <v>44220000</v>
      </c>
      <c r="T56" s="214">
        <f t="shared" si="29"/>
        <v>79504920</v>
      </c>
      <c r="U56" s="214">
        <f t="shared" si="29"/>
        <v>78402720</v>
      </c>
      <c r="V56" s="214">
        <f t="shared" si="29"/>
        <v>112421760</v>
      </c>
      <c r="W56" s="438">
        <f t="shared" si="29"/>
        <v>167854600.31999999</v>
      </c>
    </row>
    <row r="57" spans="1:23" ht="14.5" thickTop="1">
      <c r="O57" s="121" t="s">
        <v>497</v>
      </c>
      <c r="Q57" s="696">
        <f>'P&amp;L'!C15*10^7</f>
        <v>0</v>
      </c>
      <c r="R57" s="696">
        <f>'P&amp;L'!D15*10^7</f>
        <v>17462870</v>
      </c>
      <c r="S57" s="696">
        <f>'P&amp;L'!E15*10^7</f>
        <v>48152156.469999999</v>
      </c>
    </row>
    <row r="58" spans="1:23">
      <c r="A58" s="2" t="s">
        <v>498</v>
      </c>
      <c r="O58" s="121" t="s">
        <v>499</v>
      </c>
      <c r="Q58" s="616">
        <f>Q56-Q57</f>
        <v>12408000</v>
      </c>
      <c r="R58" s="616">
        <f t="shared" ref="R58:S58" si="30">R56-R57</f>
        <v>-658070</v>
      </c>
      <c r="S58" s="616">
        <f t="shared" si="30"/>
        <v>-3932156.4699999988</v>
      </c>
    </row>
    <row r="59" spans="1:23">
      <c r="A59" s="141" t="s">
        <v>500</v>
      </c>
    </row>
    <row r="60" spans="1:23">
      <c r="A60" s="141" t="s">
        <v>501</v>
      </c>
    </row>
    <row r="61" spans="1:23">
      <c r="A61" s="141" t="s">
        <v>502</v>
      </c>
    </row>
    <row r="62" spans="1:23">
      <c r="A62" s="142" t="s">
        <v>503</v>
      </c>
    </row>
  </sheetData>
  <mergeCells count="4">
    <mergeCell ref="A7:A8"/>
    <mergeCell ref="C7:I7"/>
    <mergeCell ref="J7:P7"/>
    <mergeCell ref="Q7:W7"/>
  </mergeCells>
  <pageMargins left="0.7" right="0.7" top="0.75" bottom="0.75" header="0.3" footer="0.3"/>
  <customProperties>
    <customPr name="OrphanNamesChecked" r:id="rId1"/>
  </customPropertie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57F6-C438-46B2-B9CC-5DBEC00001E1}">
  <dimension ref="A2:W63"/>
  <sheetViews>
    <sheetView showGridLines="0" zoomScale="60" zoomScaleNormal="60" workbookViewId="0">
      <pane xSplit="2" ySplit="8" topLeftCell="K38" activePane="bottomRight" state="frozen"/>
      <selection pane="topRight" activeCell="C1" sqref="C1"/>
      <selection pane="bottomLeft" activeCell="A9" sqref="A9"/>
      <selection pane="bottomRight" activeCell="W56" sqref="W56"/>
    </sheetView>
  </sheetViews>
  <sheetFormatPr defaultColWidth="8" defaultRowHeight="14"/>
  <cols>
    <col min="1" max="1" width="49.453125" style="121" bestFit="1" customWidth="1"/>
    <col min="2" max="2" width="20.54296875" style="121" customWidth="1"/>
    <col min="3" max="3" width="10.81640625" style="121" customWidth="1"/>
    <col min="4" max="4" width="9.54296875" style="121" customWidth="1"/>
    <col min="5" max="5" width="10" style="121" customWidth="1"/>
    <col min="6" max="6" width="10.54296875" style="121" customWidth="1"/>
    <col min="7" max="7" width="9.54296875" style="121" customWidth="1"/>
    <col min="8" max="8" width="11.1796875" style="121" customWidth="1"/>
    <col min="9" max="9" width="10" style="121" customWidth="1"/>
    <col min="10" max="10" width="13.81640625" style="121" bestFit="1" customWidth="1"/>
    <col min="11" max="11" width="11.54296875" style="121" bestFit="1" customWidth="1"/>
    <col min="12" max="12" width="13.81640625" style="121" bestFit="1" customWidth="1"/>
    <col min="13" max="13" width="14.1796875" style="121" customWidth="1"/>
    <col min="14" max="14" width="15.54296875" style="121" customWidth="1"/>
    <col min="15" max="16" width="12.81640625" style="121" bestFit="1" customWidth="1"/>
    <col min="17" max="19" width="13.81640625" style="121" bestFit="1" customWidth="1"/>
    <col min="20" max="21" width="14.26953125" style="121" bestFit="1" customWidth="1"/>
    <col min="22" max="22" width="14.54296875" style="121" bestFit="1" customWidth="1"/>
    <col min="23" max="23" width="15" style="121" bestFit="1" customWidth="1"/>
    <col min="24" max="16384" width="8" style="121"/>
  </cols>
  <sheetData>
    <row r="2" spans="1:23" ht="15.5">
      <c r="A2" s="119" t="s">
        <v>459</v>
      </c>
      <c r="B2" s="120"/>
    </row>
    <row r="3" spans="1:23" ht="15.5">
      <c r="A3" s="119"/>
      <c r="B3" s="120"/>
      <c r="J3" s="800"/>
      <c r="K3" s="800" t="s">
        <v>504</v>
      </c>
      <c r="L3" s="800" t="s">
        <v>505</v>
      </c>
      <c r="M3" s="800" t="s">
        <v>506</v>
      </c>
      <c r="N3" s="800" t="s">
        <v>507</v>
      </c>
    </row>
    <row r="4" spans="1:23" ht="18">
      <c r="A4" s="215"/>
      <c r="J4" s="800" t="s">
        <v>508</v>
      </c>
      <c r="K4" s="801">
        <v>0.8</v>
      </c>
      <c r="L4" s="801">
        <v>0.8</v>
      </c>
      <c r="M4" s="801">
        <v>0.8</v>
      </c>
      <c r="N4" s="801">
        <v>0.8</v>
      </c>
    </row>
    <row r="5" spans="1:23" ht="18">
      <c r="A5" s="215"/>
    </row>
    <row r="6" spans="1:23" ht="18">
      <c r="A6" s="215"/>
    </row>
    <row r="7" spans="1:23">
      <c r="A7" s="1047" t="s">
        <v>142</v>
      </c>
      <c r="B7" s="123"/>
      <c r="C7" s="1048" t="s">
        <v>461</v>
      </c>
      <c r="D7" s="1049"/>
      <c r="E7" s="1049"/>
      <c r="F7" s="1049"/>
      <c r="G7" s="1049"/>
      <c r="H7" s="1049"/>
      <c r="I7" s="1050"/>
      <c r="J7" s="1051" t="s">
        <v>462</v>
      </c>
      <c r="K7" s="1051"/>
      <c r="L7" s="1051"/>
      <c r="M7" s="1051"/>
      <c r="N7" s="1051"/>
      <c r="O7" s="1051"/>
      <c r="P7" s="1052"/>
      <c r="Q7" s="1053" t="s">
        <v>463</v>
      </c>
      <c r="R7" s="1054"/>
      <c r="S7" s="1054"/>
      <c r="T7" s="1054"/>
      <c r="U7" s="1054"/>
      <c r="V7" s="1054"/>
      <c r="W7" s="1054"/>
    </row>
    <row r="8" spans="1:23">
      <c r="A8" s="1047"/>
      <c r="B8" s="125" t="s">
        <v>464</v>
      </c>
      <c r="C8" s="122" t="s">
        <v>465</v>
      </c>
      <c r="D8" s="124" t="s">
        <v>466</v>
      </c>
      <c r="E8" s="126" t="s">
        <v>467</v>
      </c>
      <c r="F8" s="126" t="s">
        <v>468</v>
      </c>
      <c r="G8" s="126" t="s">
        <v>469</v>
      </c>
      <c r="H8" s="126" t="s">
        <v>470</v>
      </c>
      <c r="I8" s="126" t="s">
        <v>471</v>
      </c>
      <c r="J8" s="126" t="s">
        <v>465</v>
      </c>
      <c r="K8" s="126" t="s">
        <v>466</v>
      </c>
      <c r="L8" s="126" t="s">
        <v>467</v>
      </c>
      <c r="M8" s="126" t="s">
        <v>468</v>
      </c>
      <c r="N8" s="126" t="s">
        <v>469</v>
      </c>
      <c r="O8" s="126" t="s">
        <v>470</v>
      </c>
      <c r="P8" s="126" t="s">
        <v>471</v>
      </c>
      <c r="Q8" s="126" t="s">
        <v>465</v>
      </c>
      <c r="R8" s="126" t="s">
        <v>466</v>
      </c>
      <c r="S8" s="126" t="s">
        <v>467</v>
      </c>
      <c r="T8" s="126" t="s">
        <v>468</v>
      </c>
      <c r="U8" s="127" t="s">
        <v>469</v>
      </c>
      <c r="V8" s="126" t="s">
        <v>470</v>
      </c>
      <c r="W8" s="126" t="s">
        <v>471</v>
      </c>
    </row>
    <row r="9" spans="1:23" ht="56">
      <c r="A9" s="128"/>
      <c r="B9" s="129" t="s">
        <v>472</v>
      </c>
      <c r="C9" s="130"/>
      <c r="D9" s="131"/>
      <c r="F9" s="131"/>
      <c r="H9" s="131"/>
      <c r="I9" s="132"/>
      <c r="J9" s="133"/>
      <c r="L9" s="131"/>
      <c r="N9" s="131"/>
      <c r="P9" s="134"/>
      <c r="Q9" s="130"/>
      <c r="R9" s="439"/>
      <c r="S9" s="440"/>
      <c r="T9" s="439"/>
      <c r="U9" s="440"/>
      <c r="V9" s="439"/>
      <c r="W9" s="441"/>
    </row>
    <row r="10" spans="1:23">
      <c r="A10" s="135" t="s">
        <v>473</v>
      </c>
      <c r="B10" s="650" t="s">
        <v>474</v>
      </c>
      <c r="C10" s="133"/>
      <c r="D10" s="131"/>
      <c r="F10" s="131"/>
      <c r="H10" s="131"/>
      <c r="I10" s="132"/>
      <c r="J10" s="133"/>
      <c r="L10" s="131"/>
      <c r="N10" s="131"/>
      <c r="P10" s="134"/>
      <c r="Q10" s="133"/>
      <c r="S10" s="131"/>
      <c r="U10" s="131"/>
      <c r="W10" s="134"/>
    </row>
    <row r="11" spans="1:23">
      <c r="A11" s="651" t="s">
        <v>475</v>
      </c>
      <c r="B11" s="136" t="s">
        <v>474</v>
      </c>
      <c r="C11" s="133">
        <v>1</v>
      </c>
      <c r="D11" s="131">
        <v>1</v>
      </c>
      <c r="E11" s="732">
        <v>1</v>
      </c>
      <c r="F11" s="131">
        <v>1</v>
      </c>
      <c r="G11" s="131">
        <v>1</v>
      </c>
      <c r="H11" s="131">
        <v>1</v>
      </c>
      <c r="I11" s="131">
        <v>1</v>
      </c>
      <c r="J11" s="204">
        <v>1800000</v>
      </c>
      <c r="K11" s="204">
        <v>1800000</v>
      </c>
      <c r="L11" s="204">
        <v>1800000</v>
      </c>
      <c r="M11" s="697">
        <v>6000000</v>
      </c>
      <c r="N11" s="684">
        <f t="shared" ref="N11:P12" si="0">M11*1.3</f>
        <v>7800000</v>
      </c>
      <c r="O11" s="684">
        <f t="shared" si="0"/>
        <v>10140000</v>
      </c>
      <c r="P11" s="684">
        <f t="shared" si="0"/>
        <v>13182000</v>
      </c>
      <c r="Q11" s="204">
        <f>J11*C11</f>
        <v>1800000</v>
      </c>
      <c r="R11" s="204">
        <f t="shared" ref="R11:W27" si="1">K11*D11</f>
        <v>1800000</v>
      </c>
      <c r="S11" s="204">
        <f t="shared" si="1"/>
        <v>1800000</v>
      </c>
      <c r="T11" s="204">
        <f t="shared" si="1"/>
        <v>6000000</v>
      </c>
      <c r="U11" s="204">
        <f t="shared" si="1"/>
        <v>7800000</v>
      </c>
      <c r="V11" s="204">
        <f t="shared" si="1"/>
        <v>10140000</v>
      </c>
      <c r="W11" s="442">
        <f t="shared" si="1"/>
        <v>13182000</v>
      </c>
    </row>
    <row r="12" spans="1:23">
      <c r="A12" s="651" t="s">
        <v>476</v>
      </c>
      <c r="B12" s="136"/>
      <c r="C12" s="133">
        <v>1</v>
      </c>
      <c r="D12" s="131">
        <v>1</v>
      </c>
      <c r="E12" s="732">
        <v>1</v>
      </c>
      <c r="F12" s="131">
        <v>1</v>
      </c>
      <c r="G12" s="131">
        <v>1</v>
      </c>
      <c r="H12" s="131">
        <v>1</v>
      </c>
      <c r="I12" s="131">
        <v>1</v>
      </c>
      <c r="J12" s="204">
        <v>1800000</v>
      </c>
      <c r="K12" s="204">
        <v>1800000</v>
      </c>
      <c r="L12" s="204">
        <v>1800000</v>
      </c>
      <c r="M12" s="697">
        <v>6000000</v>
      </c>
      <c r="N12" s="684">
        <f t="shared" si="0"/>
        <v>7800000</v>
      </c>
      <c r="O12" s="684">
        <f t="shared" si="0"/>
        <v>10140000</v>
      </c>
      <c r="P12" s="684">
        <f t="shared" si="0"/>
        <v>13182000</v>
      </c>
      <c r="Q12" s="204">
        <f t="shared" ref="Q12:Q27" si="2">J12*C12</f>
        <v>1800000</v>
      </c>
      <c r="R12" s="204">
        <f t="shared" si="1"/>
        <v>1800000</v>
      </c>
      <c r="S12" s="204">
        <f t="shared" si="1"/>
        <v>1800000</v>
      </c>
      <c r="T12" s="204">
        <f t="shared" si="1"/>
        <v>6000000</v>
      </c>
      <c r="U12" s="204">
        <f t="shared" si="1"/>
        <v>7800000</v>
      </c>
      <c r="V12" s="204">
        <f t="shared" si="1"/>
        <v>10140000</v>
      </c>
      <c r="W12" s="442">
        <f t="shared" si="1"/>
        <v>13182000</v>
      </c>
    </row>
    <row r="13" spans="1:23">
      <c r="A13" s="651"/>
      <c r="B13" s="136"/>
      <c r="C13" s="133"/>
      <c r="D13" s="131"/>
      <c r="F13" s="131"/>
      <c r="H13" s="131"/>
      <c r="I13" s="132"/>
      <c r="J13" s="204"/>
      <c r="K13" s="205"/>
      <c r="L13" s="205"/>
      <c r="M13" s="205"/>
      <c r="N13" s="205"/>
      <c r="O13" s="205"/>
      <c r="P13" s="206"/>
      <c r="Q13" s="204">
        <f t="shared" si="2"/>
        <v>0</v>
      </c>
      <c r="R13" s="204">
        <f t="shared" si="1"/>
        <v>0</v>
      </c>
      <c r="S13" s="204">
        <f t="shared" si="1"/>
        <v>0</v>
      </c>
      <c r="T13" s="204">
        <f t="shared" si="1"/>
        <v>0</v>
      </c>
      <c r="U13" s="204">
        <f t="shared" si="1"/>
        <v>0</v>
      </c>
      <c r="V13" s="204">
        <f t="shared" si="1"/>
        <v>0</v>
      </c>
      <c r="W13" s="442">
        <f t="shared" si="1"/>
        <v>0</v>
      </c>
    </row>
    <row r="14" spans="1:23">
      <c r="A14" s="135" t="s">
        <v>477</v>
      </c>
      <c r="B14" s="650"/>
      <c r="C14" s="133"/>
      <c r="D14" s="131"/>
      <c r="F14" s="131"/>
      <c r="H14" s="131"/>
      <c r="I14" s="132"/>
      <c r="J14" s="204">
        <v>0</v>
      </c>
      <c r="K14" s="205">
        <v>0</v>
      </c>
      <c r="L14" s="205">
        <v>0</v>
      </c>
      <c r="M14" s="205">
        <v>0</v>
      </c>
      <c r="N14" s="205">
        <v>0</v>
      </c>
      <c r="O14" s="205">
        <v>0</v>
      </c>
      <c r="P14" s="206">
        <v>0</v>
      </c>
      <c r="Q14" s="204">
        <f t="shared" si="2"/>
        <v>0</v>
      </c>
      <c r="R14" s="204">
        <f t="shared" si="1"/>
        <v>0</v>
      </c>
      <c r="S14" s="204">
        <f t="shared" si="1"/>
        <v>0</v>
      </c>
      <c r="T14" s="204">
        <f t="shared" si="1"/>
        <v>0</v>
      </c>
      <c r="U14" s="204">
        <f t="shared" si="1"/>
        <v>0</v>
      </c>
      <c r="V14" s="204">
        <f t="shared" si="1"/>
        <v>0</v>
      </c>
      <c r="W14" s="442">
        <f t="shared" si="1"/>
        <v>0</v>
      </c>
    </row>
    <row r="15" spans="1:23">
      <c r="A15" s="651" t="s">
        <v>478</v>
      </c>
      <c r="B15" s="136" t="s">
        <v>474</v>
      </c>
      <c r="C15" s="133">
        <v>1</v>
      </c>
      <c r="D15" s="131">
        <v>1</v>
      </c>
      <c r="E15" s="121">
        <v>2</v>
      </c>
      <c r="F15" s="131">
        <v>1</v>
      </c>
      <c r="G15" s="131">
        <v>1</v>
      </c>
      <c r="H15" s="131">
        <v>1</v>
      </c>
      <c r="I15" s="131">
        <v>1</v>
      </c>
      <c r="J15" s="204">
        <v>480000</v>
      </c>
      <c r="K15" s="205">
        <v>600000</v>
      </c>
      <c r="L15" s="205">
        <v>720000</v>
      </c>
      <c r="M15" s="205">
        <f t="shared" ref="M15:P16" si="3">L15*1.2</f>
        <v>864000</v>
      </c>
      <c r="N15" s="205">
        <f t="shared" si="3"/>
        <v>1036800</v>
      </c>
      <c r="O15" s="205">
        <f t="shared" si="3"/>
        <v>1244160</v>
      </c>
      <c r="P15" s="205">
        <f t="shared" si="3"/>
        <v>1492992</v>
      </c>
      <c r="Q15" s="204">
        <f t="shared" si="2"/>
        <v>480000</v>
      </c>
      <c r="R15" s="204">
        <f t="shared" si="1"/>
        <v>600000</v>
      </c>
      <c r="S15" s="204">
        <f t="shared" si="1"/>
        <v>1440000</v>
      </c>
      <c r="T15" s="204">
        <f t="shared" si="1"/>
        <v>864000</v>
      </c>
      <c r="U15" s="204">
        <f t="shared" si="1"/>
        <v>1036800</v>
      </c>
      <c r="V15" s="204">
        <f t="shared" si="1"/>
        <v>1244160</v>
      </c>
      <c r="W15" s="442">
        <f t="shared" si="1"/>
        <v>1492992</v>
      </c>
    </row>
    <row r="16" spans="1:23">
      <c r="A16" s="651" t="s">
        <v>479</v>
      </c>
      <c r="B16" s="136" t="s">
        <v>474</v>
      </c>
      <c r="C16" s="133">
        <v>1</v>
      </c>
      <c r="D16" s="131">
        <v>1</v>
      </c>
      <c r="E16" s="121">
        <v>2</v>
      </c>
      <c r="F16" s="131">
        <v>3</v>
      </c>
      <c r="G16" s="131">
        <v>4</v>
      </c>
      <c r="H16" s="131">
        <v>4</v>
      </c>
      <c r="I16" s="131">
        <v>4</v>
      </c>
      <c r="J16" s="204">
        <v>255600</v>
      </c>
      <c r="K16" s="204">
        <v>255600</v>
      </c>
      <c r="L16" s="205">
        <v>420000</v>
      </c>
      <c r="M16" s="205">
        <f t="shared" si="3"/>
        <v>504000</v>
      </c>
      <c r="N16" s="205">
        <f t="shared" si="3"/>
        <v>604800</v>
      </c>
      <c r="O16" s="205">
        <f t="shared" si="3"/>
        <v>725760</v>
      </c>
      <c r="P16" s="205">
        <f t="shared" si="3"/>
        <v>870912</v>
      </c>
      <c r="Q16" s="204">
        <f t="shared" si="2"/>
        <v>255600</v>
      </c>
      <c r="R16" s="204">
        <f t="shared" si="1"/>
        <v>255600</v>
      </c>
      <c r="S16" s="204">
        <f t="shared" si="1"/>
        <v>840000</v>
      </c>
      <c r="T16" s="204">
        <f t="shared" si="1"/>
        <v>1512000</v>
      </c>
      <c r="U16" s="204">
        <f t="shared" si="1"/>
        <v>2419200</v>
      </c>
      <c r="V16" s="204">
        <f t="shared" si="1"/>
        <v>2903040</v>
      </c>
      <c r="W16" s="442">
        <f t="shared" si="1"/>
        <v>3483648</v>
      </c>
    </row>
    <row r="17" spans="1:23">
      <c r="A17" s="651"/>
      <c r="B17" s="136"/>
      <c r="C17" s="133"/>
      <c r="D17" s="131"/>
      <c r="F17" s="131"/>
      <c r="H17" s="131"/>
      <c r="I17" s="132"/>
      <c r="J17" s="204"/>
      <c r="K17" s="204"/>
      <c r="L17" s="428"/>
      <c r="M17" s="205"/>
      <c r="N17" s="205"/>
      <c r="O17" s="205"/>
      <c r="P17" s="206"/>
      <c r="Q17" s="204">
        <f t="shared" si="2"/>
        <v>0</v>
      </c>
      <c r="R17" s="204">
        <f t="shared" si="1"/>
        <v>0</v>
      </c>
      <c r="S17" s="204">
        <f t="shared" si="1"/>
        <v>0</v>
      </c>
      <c r="T17" s="204">
        <f t="shared" si="1"/>
        <v>0</v>
      </c>
      <c r="U17" s="204">
        <f t="shared" si="1"/>
        <v>0</v>
      </c>
      <c r="V17" s="204">
        <f t="shared" si="1"/>
        <v>0</v>
      </c>
      <c r="W17" s="442">
        <f t="shared" si="1"/>
        <v>0</v>
      </c>
    </row>
    <row r="18" spans="1:23">
      <c r="A18" s="135" t="s">
        <v>480</v>
      </c>
      <c r="B18" s="650"/>
      <c r="C18" s="133"/>
      <c r="D18" s="131"/>
      <c r="F18" s="131"/>
      <c r="H18" s="131"/>
      <c r="I18" s="132"/>
      <c r="J18" s="204">
        <v>0</v>
      </c>
      <c r="K18" s="205">
        <v>0</v>
      </c>
      <c r="L18" s="207"/>
      <c r="M18" s="205">
        <v>0</v>
      </c>
      <c r="N18" s="205">
        <v>0</v>
      </c>
      <c r="O18" s="205">
        <v>0</v>
      </c>
      <c r="P18" s="206">
        <v>0</v>
      </c>
      <c r="Q18" s="204">
        <f t="shared" si="2"/>
        <v>0</v>
      </c>
      <c r="R18" s="204">
        <f t="shared" si="1"/>
        <v>0</v>
      </c>
      <c r="S18" s="204">
        <f t="shared" si="1"/>
        <v>0</v>
      </c>
      <c r="T18" s="204">
        <f t="shared" si="1"/>
        <v>0</v>
      </c>
      <c r="U18" s="204">
        <f t="shared" si="1"/>
        <v>0</v>
      </c>
      <c r="V18" s="204">
        <f t="shared" si="1"/>
        <v>0</v>
      </c>
      <c r="W18" s="442">
        <f t="shared" si="1"/>
        <v>0</v>
      </c>
    </row>
    <row r="19" spans="1:23">
      <c r="A19" s="651" t="s">
        <v>478</v>
      </c>
      <c r="B19" s="137" t="s">
        <v>474</v>
      </c>
      <c r="C19" s="133">
        <v>2</v>
      </c>
      <c r="D19" s="131">
        <v>2</v>
      </c>
      <c r="E19" s="121">
        <v>3</v>
      </c>
      <c r="F19" s="131">
        <v>3</v>
      </c>
      <c r="G19" s="131">
        <v>3</v>
      </c>
      <c r="H19" s="131">
        <v>3</v>
      </c>
      <c r="I19" s="131">
        <v>3</v>
      </c>
      <c r="J19" s="204">
        <v>183600</v>
      </c>
      <c r="K19" s="205">
        <v>300000</v>
      </c>
      <c r="L19" s="205">
        <v>420000</v>
      </c>
      <c r="M19" s="205">
        <f t="shared" ref="M19:P20" si="4">L19*1.2</f>
        <v>504000</v>
      </c>
      <c r="N19" s="205">
        <f t="shared" si="4"/>
        <v>604800</v>
      </c>
      <c r="O19" s="205">
        <f t="shared" si="4"/>
        <v>725760</v>
      </c>
      <c r="P19" s="205">
        <f t="shared" si="4"/>
        <v>870912</v>
      </c>
      <c r="Q19" s="204">
        <f t="shared" si="2"/>
        <v>367200</v>
      </c>
      <c r="R19" s="204">
        <f t="shared" si="1"/>
        <v>600000</v>
      </c>
      <c r="S19" s="204">
        <f t="shared" si="1"/>
        <v>1260000</v>
      </c>
      <c r="T19" s="204">
        <f t="shared" si="1"/>
        <v>1512000</v>
      </c>
      <c r="U19" s="204">
        <f t="shared" si="1"/>
        <v>1814400</v>
      </c>
      <c r="V19" s="204">
        <f t="shared" si="1"/>
        <v>2177280</v>
      </c>
      <c r="W19" s="442">
        <f t="shared" si="1"/>
        <v>2612736</v>
      </c>
    </row>
    <row r="20" spans="1:23">
      <c r="A20" s="651" t="s">
        <v>479</v>
      </c>
      <c r="B20" s="137" t="s">
        <v>474</v>
      </c>
      <c r="C20" s="133">
        <v>2</v>
      </c>
      <c r="D20" s="131">
        <v>2</v>
      </c>
      <c r="E20" s="121">
        <v>3</v>
      </c>
      <c r="F20" s="131">
        <v>4</v>
      </c>
      <c r="G20" s="121">
        <v>5</v>
      </c>
      <c r="H20" s="131">
        <v>6</v>
      </c>
      <c r="I20" s="132">
        <v>7</v>
      </c>
      <c r="J20" s="204">
        <v>183600</v>
      </c>
      <c r="K20" s="204">
        <v>183600</v>
      </c>
      <c r="L20" s="205">
        <v>300000</v>
      </c>
      <c r="M20" s="205">
        <f t="shared" si="4"/>
        <v>360000</v>
      </c>
      <c r="N20" s="205">
        <f t="shared" si="4"/>
        <v>432000</v>
      </c>
      <c r="O20" s="205">
        <f t="shared" si="4"/>
        <v>518400</v>
      </c>
      <c r="P20" s="205">
        <f t="shared" si="4"/>
        <v>622080</v>
      </c>
      <c r="Q20" s="204">
        <f t="shared" si="2"/>
        <v>367200</v>
      </c>
      <c r="R20" s="204">
        <f t="shared" si="1"/>
        <v>367200</v>
      </c>
      <c r="S20" s="204">
        <f t="shared" si="1"/>
        <v>900000</v>
      </c>
      <c r="T20" s="204">
        <f t="shared" si="1"/>
        <v>1440000</v>
      </c>
      <c r="U20" s="204">
        <f t="shared" si="1"/>
        <v>2160000</v>
      </c>
      <c r="V20" s="204">
        <f t="shared" si="1"/>
        <v>3110400</v>
      </c>
      <c r="W20" s="442">
        <f t="shared" si="1"/>
        <v>4354560</v>
      </c>
    </row>
    <row r="21" spans="1:23">
      <c r="A21" s="651"/>
      <c r="B21" s="137"/>
      <c r="C21" s="133"/>
      <c r="D21" s="131"/>
      <c r="F21" s="131"/>
      <c r="H21" s="131"/>
      <c r="I21" s="132"/>
      <c r="J21" s="204"/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6">
        <v>0</v>
      </c>
      <c r="Q21" s="204">
        <f t="shared" si="2"/>
        <v>0</v>
      </c>
      <c r="R21" s="204">
        <f t="shared" si="1"/>
        <v>0</v>
      </c>
      <c r="S21" s="204">
        <f t="shared" si="1"/>
        <v>0</v>
      </c>
      <c r="T21" s="204">
        <f t="shared" si="1"/>
        <v>0</v>
      </c>
      <c r="U21" s="204">
        <f t="shared" si="1"/>
        <v>0</v>
      </c>
      <c r="V21" s="204">
        <f t="shared" si="1"/>
        <v>0</v>
      </c>
      <c r="W21" s="442">
        <f t="shared" si="1"/>
        <v>0</v>
      </c>
    </row>
    <row r="22" spans="1:23">
      <c r="A22" s="133"/>
      <c r="B22" s="137"/>
      <c r="C22" s="133"/>
      <c r="D22" s="131"/>
      <c r="F22" s="131"/>
      <c r="H22" s="131"/>
      <c r="I22" s="132"/>
      <c r="J22" s="204"/>
      <c r="K22" s="205"/>
      <c r="L22" s="205"/>
      <c r="M22" s="205"/>
      <c r="N22" s="205"/>
      <c r="O22" s="205"/>
      <c r="P22" s="206"/>
      <c r="Q22" s="204">
        <f t="shared" si="2"/>
        <v>0</v>
      </c>
      <c r="R22" s="204">
        <f t="shared" si="1"/>
        <v>0</v>
      </c>
      <c r="S22" s="204">
        <f t="shared" si="1"/>
        <v>0</v>
      </c>
      <c r="T22" s="204">
        <f t="shared" si="1"/>
        <v>0</v>
      </c>
      <c r="U22" s="204">
        <f t="shared" si="1"/>
        <v>0</v>
      </c>
      <c r="V22" s="204">
        <f t="shared" si="1"/>
        <v>0</v>
      </c>
      <c r="W22" s="442">
        <f t="shared" si="1"/>
        <v>0</v>
      </c>
    </row>
    <row r="23" spans="1:23">
      <c r="A23" s="135" t="s">
        <v>481</v>
      </c>
      <c r="B23" s="137"/>
      <c r="C23" s="133"/>
      <c r="D23" s="131"/>
      <c r="F23" s="131"/>
      <c r="H23" s="131"/>
      <c r="I23" s="132"/>
      <c r="J23" s="204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6">
        <v>0</v>
      </c>
      <c r="Q23" s="204">
        <f t="shared" si="2"/>
        <v>0</v>
      </c>
      <c r="R23" s="204">
        <f t="shared" si="1"/>
        <v>0</v>
      </c>
      <c r="S23" s="204">
        <f t="shared" si="1"/>
        <v>0</v>
      </c>
      <c r="T23" s="204">
        <f t="shared" si="1"/>
        <v>0</v>
      </c>
      <c r="U23" s="204">
        <f t="shared" si="1"/>
        <v>0</v>
      </c>
      <c r="V23" s="204">
        <f t="shared" si="1"/>
        <v>0</v>
      </c>
      <c r="W23" s="442">
        <f t="shared" si="1"/>
        <v>0</v>
      </c>
    </row>
    <row r="24" spans="1:23">
      <c r="A24" s="651" t="s">
        <v>478</v>
      </c>
      <c r="B24" s="136" t="s">
        <v>474</v>
      </c>
      <c r="C24" s="133">
        <v>6</v>
      </c>
      <c r="D24" s="131">
        <v>6</v>
      </c>
      <c r="E24" s="121">
        <v>8</v>
      </c>
      <c r="F24" s="131">
        <v>10</v>
      </c>
      <c r="G24" s="131">
        <v>5</v>
      </c>
      <c r="H24" s="131">
        <v>5</v>
      </c>
      <c r="I24" s="131">
        <v>5</v>
      </c>
      <c r="J24" s="204">
        <v>302400</v>
      </c>
      <c r="K24" s="205">
        <v>336000</v>
      </c>
      <c r="L24" s="205">
        <v>480000</v>
      </c>
      <c r="M24" s="205">
        <f>L24*1.2</f>
        <v>576000</v>
      </c>
      <c r="N24" s="205">
        <f>M24*1.2</f>
        <v>691200</v>
      </c>
      <c r="O24" s="205">
        <f>N24*1.2</f>
        <v>829440</v>
      </c>
      <c r="P24" s="205">
        <f>O24*1.2</f>
        <v>995328</v>
      </c>
      <c r="Q24" s="204">
        <f t="shared" si="2"/>
        <v>1814400</v>
      </c>
      <c r="R24" s="204">
        <f t="shared" si="1"/>
        <v>2016000</v>
      </c>
      <c r="S24" s="204">
        <f t="shared" si="1"/>
        <v>3840000</v>
      </c>
      <c r="T24" s="204">
        <f t="shared" si="1"/>
        <v>5760000</v>
      </c>
      <c r="U24" s="204">
        <f t="shared" si="1"/>
        <v>3456000</v>
      </c>
      <c r="V24" s="204">
        <f t="shared" si="1"/>
        <v>4147200</v>
      </c>
      <c r="W24" s="442">
        <f t="shared" si="1"/>
        <v>4976640</v>
      </c>
    </row>
    <row r="25" spans="1:23">
      <c r="A25" s="651" t="s">
        <v>482</v>
      </c>
      <c r="B25" s="136" t="s">
        <v>483</v>
      </c>
      <c r="C25" s="133">
        <v>10</v>
      </c>
      <c r="D25" s="131">
        <v>14</v>
      </c>
      <c r="E25" s="121">
        <v>90</v>
      </c>
      <c r="F25" s="131">
        <v>50</v>
      </c>
      <c r="G25" s="431">
        <v>100</v>
      </c>
      <c r="H25" s="431">
        <v>100</v>
      </c>
      <c r="I25" s="431">
        <v>100</v>
      </c>
      <c r="J25" s="204">
        <v>183600</v>
      </c>
      <c r="K25" s="204">
        <v>183600</v>
      </c>
      <c r="L25" s="204">
        <v>255600</v>
      </c>
      <c r="M25" s="205">
        <f>L25*1.2</f>
        <v>306720</v>
      </c>
      <c r="N25" s="684">
        <v>0</v>
      </c>
      <c r="O25" s="684">
        <v>0</v>
      </c>
      <c r="P25" s="685">
        <v>0</v>
      </c>
      <c r="Q25" s="204">
        <f t="shared" si="2"/>
        <v>1836000</v>
      </c>
      <c r="R25" s="204">
        <f t="shared" si="1"/>
        <v>2570400</v>
      </c>
      <c r="S25" s="204">
        <f t="shared" si="1"/>
        <v>23004000</v>
      </c>
      <c r="T25" s="204">
        <f t="shared" si="1"/>
        <v>15336000</v>
      </c>
      <c r="U25" s="204">
        <f t="shared" si="1"/>
        <v>0</v>
      </c>
      <c r="V25" s="204">
        <f t="shared" si="1"/>
        <v>0</v>
      </c>
      <c r="W25" s="442">
        <f t="shared" si="1"/>
        <v>0</v>
      </c>
    </row>
    <row r="26" spans="1:23">
      <c r="A26" s="651" t="s">
        <v>484</v>
      </c>
      <c r="B26" s="136"/>
      <c r="C26" s="133"/>
      <c r="D26" s="131"/>
      <c r="F26" s="131">
        <v>50</v>
      </c>
      <c r="G26" s="431">
        <v>100</v>
      </c>
      <c r="H26" s="431">
        <v>100</v>
      </c>
      <c r="I26" s="431">
        <v>100</v>
      </c>
      <c r="J26" s="204"/>
      <c r="K26" s="204"/>
      <c r="L26" s="204">
        <v>250000</v>
      </c>
      <c r="M26" s="205">
        <f>L26*1.2</f>
        <v>300000</v>
      </c>
      <c r="N26" s="684">
        <v>0</v>
      </c>
      <c r="O26" s="684">
        <v>0</v>
      </c>
      <c r="P26" s="685">
        <v>0</v>
      </c>
      <c r="Q26" s="204">
        <f t="shared" si="2"/>
        <v>0</v>
      </c>
      <c r="R26" s="204">
        <f t="shared" si="1"/>
        <v>0</v>
      </c>
      <c r="S26" s="204">
        <f t="shared" si="1"/>
        <v>0</v>
      </c>
      <c r="T26" s="204">
        <f t="shared" si="1"/>
        <v>15000000</v>
      </c>
      <c r="U26" s="204">
        <f t="shared" si="1"/>
        <v>0</v>
      </c>
      <c r="V26" s="204">
        <f t="shared" si="1"/>
        <v>0</v>
      </c>
      <c r="W26" s="442">
        <f t="shared" si="1"/>
        <v>0</v>
      </c>
    </row>
    <row r="27" spans="1:23">
      <c r="A27" s="651" t="s">
        <v>485</v>
      </c>
      <c r="B27" s="137" t="s">
        <v>474</v>
      </c>
      <c r="C27" s="133">
        <v>12</v>
      </c>
      <c r="D27" s="131">
        <v>8</v>
      </c>
      <c r="E27" s="121">
        <v>8</v>
      </c>
      <c r="F27" s="131">
        <v>15</v>
      </c>
      <c r="G27" s="121">
        <v>25</v>
      </c>
      <c r="H27" s="131">
        <v>35</v>
      </c>
      <c r="I27" s="132">
        <v>50</v>
      </c>
      <c r="J27" s="204">
        <v>183000</v>
      </c>
      <c r="K27" s="204">
        <v>183000</v>
      </c>
      <c r="L27" s="204">
        <v>222000</v>
      </c>
      <c r="M27" s="205">
        <f>L27*1.2</f>
        <v>266400</v>
      </c>
      <c r="N27" s="205">
        <f>M27*1.2</f>
        <v>319680</v>
      </c>
      <c r="O27" s="205">
        <f>N27*1.2</f>
        <v>383616</v>
      </c>
      <c r="P27" s="205">
        <f>O27*1.2</f>
        <v>460339.20000000001</v>
      </c>
      <c r="Q27" s="204">
        <f t="shared" si="2"/>
        <v>2196000</v>
      </c>
      <c r="R27" s="204">
        <f t="shared" si="1"/>
        <v>1464000</v>
      </c>
      <c r="S27" s="204">
        <f t="shared" si="1"/>
        <v>1776000</v>
      </c>
      <c r="T27" s="204">
        <f t="shared" si="1"/>
        <v>3996000</v>
      </c>
      <c r="U27" s="204">
        <f t="shared" si="1"/>
        <v>7992000</v>
      </c>
      <c r="V27" s="204">
        <f t="shared" si="1"/>
        <v>13426560</v>
      </c>
      <c r="W27" s="442">
        <f t="shared" si="1"/>
        <v>23016960</v>
      </c>
    </row>
    <row r="28" spans="1:23">
      <c r="A28" s="651"/>
      <c r="B28" s="137"/>
      <c r="C28" s="133"/>
      <c r="D28" s="131"/>
      <c r="F28" s="131"/>
      <c r="H28" s="131"/>
      <c r="I28" s="132"/>
      <c r="J28" s="204"/>
      <c r="K28" s="429"/>
      <c r="L28" s="429"/>
      <c r="M28" s="205"/>
      <c r="N28" s="205"/>
      <c r="O28" s="205"/>
      <c r="P28" s="430"/>
      <c r="Q28" s="204"/>
      <c r="R28" s="204"/>
      <c r="S28" s="204"/>
      <c r="T28" s="204"/>
      <c r="U28" s="204"/>
      <c r="V28" s="204"/>
      <c r="W28" s="442"/>
    </row>
    <row r="29" spans="1:23">
      <c r="A29" s="135" t="s">
        <v>486</v>
      </c>
      <c r="B29" s="650"/>
      <c r="C29" s="133"/>
      <c r="D29" s="131"/>
      <c r="F29" s="131"/>
      <c r="H29" s="131"/>
      <c r="I29" s="132"/>
      <c r="J29" s="204">
        <v>0</v>
      </c>
      <c r="K29" s="205">
        <v>0</v>
      </c>
      <c r="L29" s="205">
        <v>0</v>
      </c>
      <c r="M29" s="205">
        <v>0</v>
      </c>
      <c r="N29" s="205">
        <v>0</v>
      </c>
      <c r="O29" s="205">
        <v>0</v>
      </c>
      <c r="P29" s="206">
        <v>0</v>
      </c>
      <c r="Q29" s="204">
        <f t="shared" ref="Q29:W36" si="5">J29*C29</f>
        <v>0</v>
      </c>
      <c r="R29" s="204">
        <f t="shared" si="5"/>
        <v>0</v>
      </c>
      <c r="S29" s="204">
        <f t="shared" si="5"/>
        <v>0</v>
      </c>
      <c r="T29" s="204">
        <f t="shared" si="5"/>
        <v>0</v>
      </c>
      <c r="U29" s="204">
        <f t="shared" si="5"/>
        <v>0</v>
      </c>
      <c r="V29" s="204">
        <f t="shared" si="5"/>
        <v>0</v>
      </c>
      <c r="W29" s="442">
        <f t="shared" si="5"/>
        <v>0</v>
      </c>
    </row>
    <row r="30" spans="1:23">
      <c r="A30" s="651" t="s">
        <v>487</v>
      </c>
      <c r="B30" s="136"/>
      <c r="C30" s="133">
        <v>1</v>
      </c>
      <c r="D30" s="131">
        <v>1</v>
      </c>
      <c r="E30" s="121">
        <v>1</v>
      </c>
      <c r="F30" s="131">
        <v>1</v>
      </c>
      <c r="G30" s="121">
        <v>1</v>
      </c>
      <c r="H30" s="131">
        <v>1</v>
      </c>
      <c r="I30" s="132">
        <v>1</v>
      </c>
      <c r="J30" s="204">
        <v>600000</v>
      </c>
      <c r="K30" s="205">
        <v>720000</v>
      </c>
      <c r="L30" s="205">
        <v>840000</v>
      </c>
      <c r="M30" s="205">
        <f t="shared" ref="M30:P32" si="6">L30*1.2</f>
        <v>1008000</v>
      </c>
      <c r="N30" s="205">
        <f t="shared" si="6"/>
        <v>1209600</v>
      </c>
      <c r="O30" s="205">
        <f t="shared" si="6"/>
        <v>1451520</v>
      </c>
      <c r="P30" s="205">
        <f t="shared" si="6"/>
        <v>1741824</v>
      </c>
      <c r="Q30" s="204">
        <f t="shared" si="5"/>
        <v>600000</v>
      </c>
      <c r="R30" s="204">
        <f t="shared" si="5"/>
        <v>720000</v>
      </c>
      <c r="S30" s="204">
        <f t="shared" si="5"/>
        <v>840000</v>
      </c>
      <c r="T30" s="204">
        <f t="shared" si="5"/>
        <v>1008000</v>
      </c>
      <c r="U30" s="204">
        <f t="shared" si="5"/>
        <v>1209600</v>
      </c>
      <c r="V30" s="204">
        <f t="shared" si="5"/>
        <v>1451520</v>
      </c>
      <c r="W30" s="442">
        <f t="shared" si="5"/>
        <v>1741824</v>
      </c>
    </row>
    <row r="31" spans="1:23">
      <c r="A31" s="651" t="s">
        <v>479</v>
      </c>
      <c r="B31" s="136"/>
      <c r="C31" s="133">
        <v>1</v>
      </c>
      <c r="D31" s="131">
        <v>2</v>
      </c>
      <c r="E31" s="121">
        <v>3</v>
      </c>
      <c r="F31" s="131">
        <v>3</v>
      </c>
      <c r="G31" s="121">
        <v>3</v>
      </c>
      <c r="H31" s="131">
        <v>3</v>
      </c>
      <c r="I31" s="132">
        <v>4</v>
      </c>
      <c r="J31" s="204">
        <v>255600</v>
      </c>
      <c r="K31" s="205">
        <v>420000</v>
      </c>
      <c r="L31" s="205">
        <v>600000</v>
      </c>
      <c r="M31" s="205">
        <f t="shared" si="6"/>
        <v>720000</v>
      </c>
      <c r="N31" s="205">
        <f t="shared" si="6"/>
        <v>864000</v>
      </c>
      <c r="O31" s="205">
        <f t="shared" si="6"/>
        <v>1036800</v>
      </c>
      <c r="P31" s="205">
        <f t="shared" si="6"/>
        <v>1244160</v>
      </c>
      <c r="Q31" s="204">
        <f t="shared" si="5"/>
        <v>255600</v>
      </c>
      <c r="R31" s="204">
        <f t="shared" si="5"/>
        <v>840000</v>
      </c>
      <c r="S31" s="204">
        <f t="shared" si="5"/>
        <v>1800000</v>
      </c>
      <c r="T31" s="204">
        <f t="shared" si="5"/>
        <v>2160000</v>
      </c>
      <c r="U31" s="204">
        <f t="shared" si="5"/>
        <v>2592000</v>
      </c>
      <c r="V31" s="204">
        <f t="shared" si="5"/>
        <v>3110400</v>
      </c>
      <c r="W31" s="442">
        <f t="shared" si="5"/>
        <v>4976640</v>
      </c>
    </row>
    <row r="32" spans="1:23">
      <c r="A32" s="651" t="s">
        <v>488</v>
      </c>
      <c r="B32" s="136"/>
      <c r="C32" s="133">
        <v>7</v>
      </c>
      <c r="D32" s="131">
        <v>8</v>
      </c>
      <c r="E32" s="121">
        <v>10</v>
      </c>
      <c r="F32" s="131">
        <v>10</v>
      </c>
      <c r="G32" s="121">
        <v>15</v>
      </c>
      <c r="H32" s="131">
        <v>18</v>
      </c>
      <c r="I32" s="132">
        <v>20</v>
      </c>
      <c r="J32" s="204">
        <v>183600</v>
      </c>
      <c r="K32" s="204">
        <v>183600</v>
      </c>
      <c r="L32" s="205">
        <v>222000</v>
      </c>
      <c r="M32" s="205">
        <f t="shared" si="6"/>
        <v>266400</v>
      </c>
      <c r="N32" s="205">
        <f t="shared" si="6"/>
        <v>319680</v>
      </c>
      <c r="O32" s="205">
        <f t="shared" si="6"/>
        <v>383616</v>
      </c>
      <c r="P32" s="205">
        <f t="shared" si="6"/>
        <v>460339.20000000001</v>
      </c>
      <c r="Q32" s="204">
        <f t="shared" si="5"/>
        <v>1285200</v>
      </c>
      <c r="R32" s="204">
        <f t="shared" si="5"/>
        <v>1468800</v>
      </c>
      <c r="S32" s="204">
        <f t="shared" si="5"/>
        <v>2220000</v>
      </c>
      <c r="T32" s="204">
        <f t="shared" si="5"/>
        <v>2664000</v>
      </c>
      <c r="U32" s="204">
        <f t="shared" si="5"/>
        <v>4795200</v>
      </c>
      <c r="V32" s="204">
        <f t="shared" si="5"/>
        <v>6905088</v>
      </c>
      <c r="W32" s="442">
        <f t="shared" si="5"/>
        <v>9206784</v>
      </c>
    </row>
    <row r="33" spans="1:23">
      <c r="A33" s="651"/>
      <c r="B33" s="136"/>
      <c r="C33" s="133"/>
      <c r="D33" s="131"/>
      <c r="F33" s="131"/>
      <c r="H33" s="131"/>
      <c r="I33" s="132"/>
      <c r="J33" s="204"/>
      <c r="K33" s="205"/>
      <c r="L33" s="205"/>
      <c r="M33" s="205"/>
      <c r="N33" s="205"/>
      <c r="O33" s="205"/>
      <c r="P33" s="206"/>
      <c r="Q33" s="204">
        <f t="shared" si="5"/>
        <v>0</v>
      </c>
      <c r="R33" s="204">
        <f t="shared" si="5"/>
        <v>0</v>
      </c>
      <c r="S33" s="204">
        <f t="shared" si="5"/>
        <v>0</v>
      </c>
      <c r="T33" s="204">
        <f t="shared" si="5"/>
        <v>0</v>
      </c>
      <c r="U33" s="204">
        <f t="shared" si="5"/>
        <v>0</v>
      </c>
      <c r="V33" s="204">
        <f t="shared" si="5"/>
        <v>0</v>
      </c>
      <c r="W33" s="442">
        <f t="shared" si="5"/>
        <v>0</v>
      </c>
    </row>
    <row r="34" spans="1:23">
      <c r="A34" s="135" t="s">
        <v>489</v>
      </c>
      <c r="B34" s="650"/>
      <c r="C34" s="133"/>
      <c r="D34" s="131"/>
      <c r="F34" s="131"/>
      <c r="H34" s="131"/>
      <c r="I34" s="132"/>
      <c r="J34" s="204">
        <v>0</v>
      </c>
      <c r="K34" s="205">
        <v>0</v>
      </c>
      <c r="L34" s="205">
        <v>0</v>
      </c>
      <c r="M34" s="205">
        <v>0</v>
      </c>
      <c r="N34" s="205">
        <v>0</v>
      </c>
      <c r="O34" s="205">
        <v>0</v>
      </c>
      <c r="P34" s="206">
        <v>0</v>
      </c>
      <c r="Q34" s="204">
        <f t="shared" si="5"/>
        <v>0</v>
      </c>
      <c r="R34" s="204">
        <f t="shared" si="5"/>
        <v>0</v>
      </c>
      <c r="S34" s="204">
        <f t="shared" si="5"/>
        <v>0</v>
      </c>
      <c r="T34" s="204">
        <f t="shared" si="5"/>
        <v>0</v>
      </c>
      <c r="U34" s="204">
        <f t="shared" si="5"/>
        <v>0</v>
      </c>
      <c r="V34" s="204">
        <f t="shared" si="5"/>
        <v>0</v>
      </c>
      <c r="W34" s="442">
        <f t="shared" si="5"/>
        <v>0</v>
      </c>
    </row>
    <row r="35" spans="1:23">
      <c r="A35" s="651" t="s">
        <v>478</v>
      </c>
      <c r="B35" s="136"/>
      <c r="C35" s="133">
        <v>1</v>
      </c>
      <c r="D35" s="131">
        <v>1</v>
      </c>
      <c r="E35" s="121">
        <v>3</v>
      </c>
      <c r="F35" s="131">
        <v>3</v>
      </c>
      <c r="G35" s="121">
        <v>3</v>
      </c>
      <c r="H35" s="131">
        <v>4</v>
      </c>
      <c r="I35" s="132">
        <v>5</v>
      </c>
      <c r="J35" s="204">
        <v>183000</v>
      </c>
      <c r="K35" s="205">
        <v>255600</v>
      </c>
      <c r="L35" s="205">
        <v>420000</v>
      </c>
      <c r="M35" s="205">
        <f t="shared" ref="M35:P36" si="7">L35*1.2</f>
        <v>504000</v>
      </c>
      <c r="N35" s="205">
        <f t="shared" si="7"/>
        <v>604800</v>
      </c>
      <c r="O35" s="205">
        <f t="shared" si="7"/>
        <v>725760</v>
      </c>
      <c r="P35" s="205">
        <f t="shared" si="7"/>
        <v>870912</v>
      </c>
      <c r="Q35" s="204">
        <f t="shared" si="5"/>
        <v>183000</v>
      </c>
      <c r="R35" s="204">
        <f t="shared" si="5"/>
        <v>255600</v>
      </c>
      <c r="S35" s="204">
        <f t="shared" si="5"/>
        <v>1260000</v>
      </c>
      <c r="T35" s="204">
        <f t="shared" si="5"/>
        <v>1512000</v>
      </c>
      <c r="U35" s="204">
        <f t="shared" si="5"/>
        <v>1814400</v>
      </c>
      <c r="V35" s="204">
        <f t="shared" si="5"/>
        <v>2903040</v>
      </c>
      <c r="W35" s="442">
        <f t="shared" si="5"/>
        <v>4354560</v>
      </c>
    </row>
    <row r="36" spans="1:23">
      <c r="A36" s="138" t="s">
        <v>488</v>
      </c>
      <c r="B36" s="136"/>
      <c r="C36" s="133">
        <v>2</v>
      </c>
      <c r="D36" s="131">
        <v>2</v>
      </c>
      <c r="E36" s="121">
        <v>5</v>
      </c>
      <c r="F36" s="131">
        <v>5</v>
      </c>
      <c r="G36" s="121">
        <v>10</v>
      </c>
      <c r="H36" s="131">
        <v>25</v>
      </c>
      <c r="I36" s="132">
        <v>50</v>
      </c>
      <c r="J36" s="204">
        <v>183000</v>
      </c>
      <c r="K36" s="204">
        <v>183000</v>
      </c>
      <c r="L36" s="204">
        <v>183000</v>
      </c>
      <c r="M36" s="205">
        <f t="shared" si="7"/>
        <v>219600</v>
      </c>
      <c r="N36" s="205">
        <f t="shared" si="7"/>
        <v>263520</v>
      </c>
      <c r="O36" s="205">
        <f t="shared" si="7"/>
        <v>316224</v>
      </c>
      <c r="P36" s="205">
        <f t="shared" si="7"/>
        <v>379468.79999999999</v>
      </c>
      <c r="Q36" s="204">
        <f t="shared" si="5"/>
        <v>366000</v>
      </c>
      <c r="R36" s="204">
        <f t="shared" si="5"/>
        <v>366000</v>
      </c>
      <c r="S36" s="204">
        <f t="shared" si="5"/>
        <v>915000</v>
      </c>
      <c r="T36" s="204">
        <f t="shared" si="5"/>
        <v>1098000</v>
      </c>
      <c r="U36" s="204">
        <f t="shared" si="5"/>
        <v>2635200</v>
      </c>
      <c r="V36" s="204">
        <f t="shared" si="5"/>
        <v>7905600</v>
      </c>
      <c r="W36" s="442">
        <f t="shared" si="5"/>
        <v>18973440</v>
      </c>
    </row>
    <row r="37" spans="1:23">
      <c r="A37" s="138"/>
      <c r="B37" s="136"/>
      <c r="C37" s="133"/>
      <c r="D37" s="131"/>
      <c r="F37" s="131"/>
      <c r="H37" s="131"/>
      <c r="I37" s="132"/>
      <c r="J37" s="204"/>
      <c r="K37" s="429"/>
      <c r="L37" s="429"/>
      <c r="M37" s="205"/>
      <c r="N37" s="205"/>
      <c r="O37" s="205"/>
      <c r="P37" s="206"/>
      <c r="Q37" s="204"/>
      <c r="R37" s="204"/>
      <c r="S37" s="204"/>
      <c r="T37" s="204"/>
      <c r="U37" s="204"/>
      <c r="V37" s="204"/>
      <c r="W37" s="442"/>
    </row>
    <row r="38" spans="1:23">
      <c r="A38" s="135" t="s">
        <v>490</v>
      </c>
      <c r="B38" s="136"/>
      <c r="C38" s="133"/>
      <c r="D38" s="131"/>
      <c r="F38" s="131"/>
      <c r="H38" s="131"/>
      <c r="I38" s="132"/>
      <c r="J38" s="204"/>
      <c r="K38" s="205"/>
      <c r="L38" s="205"/>
      <c r="M38" s="205"/>
      <c r="N38" s="205"/>
      <c r="O38" s="205"/>
      <c r="P38" s="206"/>
      <c r="Q38" s="204">
        <f t="shared" ref="Q38:W42" si="8">J38*C38</f>
        <v>0</v>
      </c>
      <c r="R38" s="204">
        <f t="shared" si="8"/>
        <v>0</v>
      </c>
      <c r="S38" s="204">
        <f t="shared" si="8"/>
        <v>0</v>
      </c>
      <c r="T38" s="204">
        <f t="shared" si="8"/>
        <v>0</v>
      </c>
      <c r="U38" s="204">
        <f t="shared" si="8"/>
        <v>0</v>
      </c>
      <c r="V38" s="204">
        <f t="shared" si="8"/>
        <v>0</v>
      </c>
      <c r="W38" s="442">
        <f t="shared" si="8"/>
        <v>0</v>
      </c>
    </row>
    <row r="39" spans="1:23">
      <c r="A39" s="651" t="s">
        <v>478</v>
      </c>
      <c r="B39" s="136" t="s">
        <v>474</v>
      </c>
      <c r="C39" s="133">
        <v>2</v>
      </c>
      <c r="D39" s="131">
        <v>3</v>
      </c>
      <c r="E39" s="121">
        <v>4</v>
      </c>
      <c r="F39" s="131">
        <v>5</v>
      </c>
      <c r="G39" s="121">
        <v>6</v>
      </c>
      <c r="H39" s="131">
        <v>7</v>
      </c>
      <c r="I39" s="132">
        <v>10</v>
      </c>
      <c r="J39" s="204">
        <v>255600</v>
      </c>
      <c r="K39" s="205">
        <v>300000</v>
      </c>
      <c r="L39" s="205">
        <v>420000</v>
      </c>
      <c r="M39" s="205">
        <f t="shared" ref="M39:P41" si="9">L39*1.2</f>
        <v>504000</v>
      </c>
      <c r="N39" s="205">
        <f t="shared" si="9"/>
        <v>604800</v>
      </c>
      <c r="O39" s="205">
        <f t="shared" si="9"/>
        <v>725760</v>
      </c>
      <c r="P39" s="205">
        <f t="shared" si="9"/>
        <v>870912</v>
      </c>
      <c r="Q39" s="204">
        <f t="shared" si="8"/>
        <v>511200</v>
      </c>
      <c r="R39" s="204">
        <f t="shared" si="8"/>
        <v>900000</v>
      </c>
      <c r="S39" s="204">
        <f t="shared" si="8"/>
        <v>1680000</v>
      </c>
      <c r="T39" s="204">
        <f t="shared" si="8"/>
        <v>2520000</v>
      </c>
      <c r="U39" s="204">
        <f t="shared" si="8"/>
        <v>3628800</v>
      </c>
      <c r="V39" s="204">
        <f t="shared" si="8"/>
        <v>5080320</v>
      </c>
      <c r="W39" s="442">
        <f t="shared" si="8"/>
        <v>8709120</v>
      </c>
    </row>
    <row r="40" spans="1:23">
      <c r="A40" s="651" t="s">
        <v>491</v>
      </c>
      <c r="B40" s="136" t="s">
        <v>474</v>
      </c>
      <c r="C40" s="133">
        <v>2</v>
      </c>
      <c r="D40" s="131">
        <v>2</v>
      </c>
      <c r="E40" s="121">
        <v>2</v>
      </c>
      <c r="F40" s="131">
        <v>3</v>
      </c>
      <c r="G40" s="121">
        <v>5</v>
      </c>
      <c r="H40" s="131">
        <v>7</v>
      </c>
      <c r="I40" s="132">
        <v>10</v>
      </c>
      <c r="J40" s="204">
        <v>183000</v>
      </c>
      <c r="K40" s="205">
        <v>222000</v>
      </c>
      <c r="L40" s="205">
        <v>282000</v>
      </c>
      <c r="M40" s="205">
        <f t="shared" si="9"/>
        <v>338400</v>
      </c>
      <c r="N40" s="205">
        <f t="shared" si="9"/>
        <v>406080</v>
      </c>
      <c r="O40" s="205">
        <f t="shared" si="9"/>
        <v>487296</v>
      </c>
      <c r="P40" s="205">
        <f t="shared" si="9"/>
        <v>584755.19999999995</v>
      </c>
      <c r="Q40" s="204">
        <f t="shared" si="8"/>
        <v>366000</v>
      </c>
      <c r="R40" s="204">
        <f t="shared" si="8"/>
        <v>444000</v>
      </c>
      <c r="S40" s="204">
        <f t="shared" si="8"/>
        <v>564000</v>
      </c>
      <c r="T40" s="204">
        <f t="shared" si="8"/>
        <v>1015200</v>
      </c>
      <c r="U40" s="204">
        <f t="shared" si="8"/>
        <v>2030400</v>
      </c>
      <c r="V40" s="204">
        <f t="shared" si="8"/>
        <v>3411072</v>
      </c>
      <c r="W40" s="442">
        <f t="shared" si="8"/>
        <v>5847552</v>
      </c>
    </row>
    <row r="41" spans="1:23">
      <c r="A41" s="651" t="s">
        <v>488</v>
      </c>
      <c r="B41" s="136" t="s">
        <v>474</v>
      </c>
      <c r="C41" s="133">
        <v>5</v>
      </c>
      <c r="D41" s="131">
        <v>5</v>
      </c>
      <c r="E41" s="121">
        <v>8</v>
      </c>
      <c r="F41" s="131">
        <v>10</v>
      </c>
      <c r="G41" s="121">
        <v>15</v>
      </c>
      <c r="H41" s="131">
        <v>20</v>
      </c>
      <c r="I41" s="132">
        <v>26</v>
      </c>
      <c r="J41" s="204">
        <v>183000</v>
      </c>
      <c r="K41" s="205">
        <v>222000</v>
      </c>
      <c r="L41" s="205">
        <v>282000</v>
      </c>
      <c r="M41" s="205">
        <f t="shared" si="9"/>
        <v>338400</v>
      </c>
      <c r="N41" s="205">
        <f t="shared" si="9"/>
        <v>406080</v>
      </c>
      <c r="O41" s="205">
        <f t="shared" si="9"/>
        <v>487296</v>
      </c>
      <c r="P41" s="205">
        <f t="shared" si="9"/>
        <v>584755.19999999995</v>
      </c>
      <c r="Q41" s="204">
        <f t="shared" si="8"/>
        <v>915000</v>
      </c>
      <c r="R41" s="204">
        <f t="shared" si="8"/>
        <v>1110000</v>
      </c>
      <c r="S41" s="204">
        <f t="shared" si="8"/>
        <v>2256000</v>
      </c>
      <c r="T41" s="204">
        <f t="shared" si="8"/>
        <v>3384000</v>
      </c>
      <c r="U41" s="204">
        <f t="shared" si="8"/>
        <v>6091200</v>
      </c>
      <c r="V41" s="204">
        <f t="shared" si="8"/>
        <v>9745920</v>
      </c>
      <c r="W41" s="442">
        <f t="shared" si="8"/>
        <v>15203635.199999999</v>
      </c>
    </row>
    <row r="42" spans="1:23">
      <c r="A42" s="138"/>
      <c r="B42" s="136"/>
      <c r="C42" s="133"/>
      <c r="D42" s="131"/>
      <c r="F42" s="131"/>
      <c r="H42" s="131"/>
      <c r="I42" s="132"/>
      <c r="J42" s="204">
        <v>0</v>
      </c>
      <c r="K42" s="205">
        <v>0</v>
      </c>
      <c r="L42" s="205">
        <v>0</v>
      </c>
      <c r="M42" s="205">
        <v>0</v>
      </c>
      <c r="N42" s="205">
        <v>0</v>
      </c>
      <c r="O42" s="205">
        <v>0</v>
      </c>
      <c r="P42" s="206">
        <v>0</v>
      </c>
      <c r="Q42" s="204">
        <f t="shared" si="8"/>
        <v>0</v>
      </c>
      <c r="R42" s="204">
        <f t="shared" si="8"/>
        <v>0</v>
      </c>
      <c r="S42" s="204">
        <f t="shared" si="8"/>
        <v>0</v>
      </c>
      <c r="T42" s="204">
        <f t="shared" si="8"/>
        <v>0</v>
      </c>
      <c r="U42" s="204">
        <f t="shared" si="8"/>
        <v>0</v>
      </c>
      <c r="V42" s="204">
        <f t="shared" si="8"/>
        <v>0</v>
      </c>
      <c r="W42" s="442">
        <f t="shared" si="8"/>
        <v>0</v>
      </c>
    </row>
    <row r="43" spans="1:23">
      <c r="A43" s="135" t="s">
        <v>492</v>
      </c>
      <c r="B43" s="136"/>
      <c r="C43" s="133"/>
      <c r="D43" s="131"/>
      <c r="F43" s="131"/>
      <c r="G43" s="134"/>
      <c r="H43" s="649"/>
      <c r="I43" s="132"/>
      <c r="J43" s="208"/>
      <c r="K43" s="205"/>
      <c r="L43" s="209"/>
      <c r="M43" s="205"/>
      <c r="N43" s="206"/>
      <c r="O43" s="429"/>
      <c r="P43" s="210"/>
      <c r="Q43" s="204"/>
      <c r="R43" s="205"/>
      <c r="S43" s="205"/>
      <c r="T43" s="205"/>
      <c r="U43" s="205"/>
      <c r="V43" s="205"/>
      <c r="W43" s="206"/>
    </row>
    <row r="44" spans="1:23">
      <c r="A44" s="138" t="s">
        <v>493</v>
      </c>
      <c r="B44" s="136"/>
      <c r="C44" s="133"/>
      <c r="D44" s="131"/>
      <c r="F44" s="131"/>
      <c r="G44" s="134">
        <v>1</v>
      </c>
      <c r="H44" s="649">
        <v>1</v>
      </c>
      <c r="I44" s="121">
        <v>1</v>
      </c>
      <c r="J44" s="208"/>
      <c r="K44" s="205"/>
      <c r="L44" s="209"/>
      <c r="M44" s="205"/>
      <c r="N44" s="206">
        <v>3000000</v>
      </c>
      <c r="O44" s="210">
        <f t="shared" ref="O44:P47" si="10">N44*1.2</f>
        <v>3600000</v>
      </c>
      <c r="P44" s="209">
        <f t="shared" si="10"/>
        <v>4320000</v>
      </c>
      <c r="Q44" s="204">
        <f t="shared" ref="Q44:W47" si="11">J44*C44</f>
        <v>0</v>
      </c>
      <c r="R44" s="204">
        <f t="shared" si="11"/>
        <v>0</v>
      </c>
      <c r="S44" s="204">
        <f t="shared" si="11"/>
        <v>0</v>
      </c>
      <c r="T44" s="204">
        <f t="shared" si="11"/>
        <v>0</v>
      </c>
      <c r="U44" s="204">
        <f t="shared" si="11"/>
        <v>3000000</v>
      </c>
      <c r="V44" s="204">
        <f t="shared" si="11"/>
        <v>3600000</v>
      </c>
      <c r="W44" s="442">
        <f t="shared" si="11"/>
        <v>4320000</v>
      </c>
    </row>
    <row r="45" spans="1:23">
      <c r="A45" s="138" t="s">
        <v>302</v>
      </c>
      <c r="B45" s="136"/>
      <c r="C45" s="133"/>
      <c r="D45" s="131"/>
      <c r="F45" s="131"/>
      <c r="G45" s="134">
        <v>1</v>
      </c>
      <c r="H45" s="649">
        <v>1</v>
      </c>
      <c r="I45" s="121">
        <v>1</v>
      </c>
      <c r="J45" s="208"/>
      <c r="K45" s="205"/>
      <c r="L45" s="209"/>
      <c r="M45" s="205"/>
      <c r="N45" s="206">
        <v>3000000</v>
      </c>
      <c r="O45" s="210">
        <f t="shared" si="10"/>
        <v>3600000</v>
      </c>
      <c r="P45" s="209">
        <f t="shared" si="10"/>
        <v>4320000</v>
      </c>
      <c r="Q45" s="204">
        <f t="shared" si="11"/>
        <v>0</v>
      </c>
      <c r="R45" s="204">
        <f t="shared" si="11"/>
        <v>0</v>
      </c>
      <c r="S45" s="204">
        <f t="shared" si="11"/>
        <v>0</v>
      </c>
      <c r="T45" s="204">
        <f t="shared" si="11"/>
        <v>0</v>
      </c>
      <c r="U45" s="204">
        <f t="shared" si="11"/>
        <v>3000000</v>
      </c>
      <c r="V45" s="204">
        <f t="shared" si="11"/>
        <v>3600000</v>
      </c>
      <c r="W45" s="442">
        <f t="shared" si="11"/>
        <v>4320000</v>
      </c>
    </row>
    <row r="46" spans="1:23">
      <c r="A46" s="138" t="s">
        <v>305</v>
      </c>
      <c r="B46" s="136"/>
      <c r="C46" s="133"/>
      <c r="D46" s="131"/>
      <c r="F46" s="131"/>
      <c r="G46" s="134">
        <v>1</v>
      </c>
      <c r="H46" s="649">
        <v>1</v>
      </c>
      <c r="I46" s="121">
        <v>1</v>
      </c>
      <c r="J46" s="208"/>
      <c r="K46" s="205"/>
      <c r="L46" s="209"/>
      <c r="M46" s="205"/>
      <c r="N46" s="206">
        <v>3000000</v>
      </c>
      <c r="O46" s="210">
        <f t="shared" si="10"/>
        <v>3600000</v>
      </c>
      <c r="P46" s="209">
        <f t="shared" si="10"/>
        <v>4320000</v>
      </c>
      <c r="Q46" s="204">
        <f t="shared" si="11"/>
        <v>0</v>
      </c>
      <c r="R46" s="204">
        <f t="shared" si="11"/>
        <v>0</v>
      </c>
      <c r="S46" s="204">
        <f t="shared" si="11"/>
        <v>0</v>
      </c>
      <c r="T46" s="204">
        <f t="shared" si="11"/>
        <v>0</v>
      </c>
      <c r="U46" s="204">
        <f t="shared" si="11"/>
        <v>3000000</v>
      </c>
      <c r="V46" s="204">
        <f t="shared" si="11"/>
        <v>3600000</v>
      </c>
      <c r="W46" s="442">
        <f t="shared" si="11"/>
        <v>4320000</v>
      </c>
    </row>
    <row r="47" spans="1:23">
      <c r="A47" s="138" t="s">
        <v>494</v>
      </c>
      <c r="B47" s="136"/>
      <c r="C47" s="133"/>
      <c r="D47" s="131"/>
      <c r="F47" s="131"/>
      <c r="G47" s="134">
        <v>1</v>
      </c>
      <c r="H47" s="649">
        <v>1</v>
      </c>
      <c r="I47" s="121">
        <v>1</v>
      </c>
      <c r="J47" s="208"/>
      <c r="K47" s="205"/>
      <c r="L47" s="209"/>
      <c r="M47" s="205"/>
      <c r="N47" s="206">
        <v>3000000</v>
      </c>
      <c r="O47" s="210">
        <f t="shared" si="10"/>
        <v>3600000</v>
      </c>
      <c r="P47" s="209">
        <f t="shared" si="10"/>
        <v>4320000</v>
      </c>
      <c r="Q47" s="204">
        <f t="shared" si="11"/>
        <v>0</v>
      </c>
      <c r="R47" s="204">
        <f t="shared" si="11"/>
        <v>0</v>
      </c>
      <c r="S47" s="204">
        <f t="shared" si="11"/>
        <v>0</v>
      </c>
      <c r="T47" s="204">
        <f t="shared" si="11"/>
        <v>0</v>
      </c>
      <c r="U47" s="204">
        <f t="shared" si="11"/>
        <v>3000000</v>
      </c>
      <c r="V47" s="204">
        <f t="shared" si="11"/>
        <v>3600000</v>
      </c>
      <c r="W47" s="442">
        <f t="shared" si="11"/>
        <v>4320000</v>
      </c>
    </row>
    <row r="48" spans="1:23">
      <c r="B48" s="136"/>
      <c r="C48" s="133"/>
      <c r="D48" s="131"/>
      <c r="F48" s="131"/>
      <c r="G48" s="134"/>
      <c r="H48" s="140"/>
      <c r="I48" s="132"/>
      <c r="J48" s="208"/>
      <c r="K48" s="205"/>
      <c r="L48" s="209"/>
      <c r="M48" s="205"/>
      <c r="N48" s="206"/>
      <c r="O48" s="210"/>
      <c r="P48" s="210"/>
      <c r="Q48" s="204"/>
      <c r="R48" s="205"/>
      <c r="S48" s="205"/>
      <c r="T48" s="205"/>
      <c r="U48" s="205"/>
      <c r="V48" s="205"/>
      <c r="W48" s="206"/>
    </row>
    <row r="49" spans="1:23">
      <c r="A49" s="139" t="s">
        <v>495</v>
      </c>
      <c r="B49" s="136"/>
      <c r="C49" s="133"/>
      <c r="D49" s="131"/>
      <c r="F49" s="131"/>
      <c r="H49" s="131"/>
      <c r="I49" s="132"/>
      <c r="J49" s="208"/>
      <c r="K49" s="205"/>
      <c r="L49" s="209"/>
      <c r="M49" s="205"/>
      <c r="N49" s="206"/>
      <c r="O49" s="429"/>
      <c r="P49" s="210"/>
      <c r="Q49" s="204"/>
      <c r="R49" s="205"/>
      <c r="S49" s="205"/>
      <c r="T49" s="205"/>
      <c r="U49" s="205"/>
      <c r="V49" s="205"/>
      <c r="W49" s="206"/>
    </row>
    <row r="50" spans="1:23">
      <c r="A50" s="139"/>
      <c r="B50" s="136"/>
      <c r="C50" s="133"/>
      <c r="D50" s="131"/>
      <c r="F50" s="131"/>
      <c r="H50" s="131"/>
      <c r="I50" s="132"/>
      <c r="J50" s="208"/>
      <c r="K50" s="205"/>
      <c r="L50" s="209"/>
      <c r="M50" s="205"/>
      <c r="N50" s="209"/>
      <c r="O50" s="205"/>
      <c r="P50" s="210"/>
      <c r="Q50" s="204"/>
      <c r="R50" s="205"/>
      <c r="S50" s="205"/>
      <c r="T50" s="205"/>
      <c r="U50" s="205"/>
      <c r="V50" s="205"/>
      <c r="W50" s="206"/>
    </row>
    <row r="51" spans="1:23" ht="18">
      <c r="A51" s="216" t="s">
        <v>460</v>
      </c>
      <c r="B51" s="136"/>
      <c r="C51" s="133"/>
      <c r="D51" s="131"/>
      <c r="F51" s="131"/>
      <c r="H51" s="131"/>
      <c r="I51" s="132"/>
      <c r="J51" s="208"/>
      <c r="K51" s="205"/>
      <c r="L51" s="209"/>
      <c r="M51" s="205"/>
      <c r="N51" s="209"/>
      <c r="O51" s="205"/>
      <c r="P51" s="210"/>
      <c r="Q51" s="204"/>
      <c r="R51" s="205"/>
      <c r="S51" s="205"/>
      <c r="T51" s="205"/>
      <c r="U51" s="205"/>
      <c r="V51" s="205"/>
      <c r="W51" s="206"/>
    </row>
    <row r="52" spans="1:23">
      <c r="A52" s="139"/>
      <c r="B52" s="136"/>
      <c r="C52" s="133"/>
      <c r="D52" s="131"/>
      <c r="F52" s="131"/>
      <c r="H52" s="131"/>
      <c r="I52" s="132"/>
      <c r="J52" s="208"/>
      <c r="K52" s="205"/>
      <c r="L52" s="209"/>
      <c r="M52" s="205"/>
      <c r="N52" s="209"/>
      <c r="O52" s="205"/>
      <c r="P52" s="210"/>
      <c r="Q52" s="204"/>
      <c r="R52" s="205"/>
      <c r="S52" s="205"/>
      <c r="T52" s="205"/>
      <c r="U52" s="205"/>
      <c r="V52" s="205"/>
      <c r="W52" s="206"/>
    </row>
    <row r="53" spans="1:23">
      <c r="A53" s="140"/>
      <c r="B53" s="137"/>
      <c r="C53" s="133"/>
      <c r="D53" s="131"/>
      <c r="F53" s="131"/>
      <c r="H53" s="131"/>
      <c r="I53" s="132"/>
      <c r="J53" s="208"/>
      <c r="K53" s="205"/>
      <c r="L53" s="209"/>
      <c r="M53" s="205"/>
      <c r="N53" s="209"/>
      <c r="O53" s="205"/>
      <c r="P53" s="210"/>
      <c r="Q53" s="204"/>
      <c r="R53" s="205"/>
      <c r="S53" s="205"/>
      <c r="T53" s="205"/>
      <c r="U53" s="205"/>
      <c r="V53" s="205"/>
      <c r="W53" s="206"/>
    </row>
    <row r="54" spans="1:23">
      <c r="A54" s="128" t="s">
        <v>509</v>
      </c>
      <c r="B54" s="441"/>
      <c r="C54" s="128">
        <f t="shared" ref="C54:I54" si="12">SUM(C11:C53)</f>
        <v>57</v>
      </c>
      <c r="D54" s="128">
        <f t="shared" si="12"/>
        <v>60</v>
      </c>
      <c r="E54" s="128">
        <f>SUM(E11:E53)</f>
        <v>154</v>
      </c>
      <c r="F54" s="128">
        <f t="shared" si="12"/>
        <v>178</v>
      </c>
      <c r="G54" s="128">
        <f t="shared" si="12"/>
        <v>307</v>
      </c>
      <c r="H54" s="128">
        <f t="shared" si="12"/>
        <v>345</v>
      </c>
      <c r="I54" s="128">
        <f t="shared" si="12"/>
        <v>402</v>
      </c>
      <c r="J54" s="773"/>
      <c r="K54" s="773"/>
      <c r="L54" s="773"/>
      <c r="M54" s="773"/>
      <c r="N54" s="773"/>
      <c r="O54" s="773"/>
      <c r="P54" s="773"/>
      <c r="Q54" s="773">
        <f t="shared" ref="Q54:W54" si="13">SUM(Q11:Q53)</f>
        <v>15398400</v>
      </c>
      <c r="R54" s="773">
        <f t="shared" si="13"/>
        <v>17577600</v>
      </c>
      <c r="S54" s="773">
        <f t="shared" si="13"/>
        <v>48195000</v>
      </c>
      <c r="T54" s="773">
        <f t="shared" si="13"/>
        <v>72781200</v>
      </c>
      <c r="U54" s="773">
        <f t="shared" si="13"/>
        <v>71275200</v>
      </c>
      <c r="V54" s="773">
        <f t="shared" si="13"/>
        <v>102201600</v>
      </c>
      <c r="W54" s="774">
        <f t="shared" si="13"/>
        <v>152595091.19999999</v>
      </c>
    </row>
    <row r="55" spans="1:23">
      <c r="A55" s="775" t="s">
        <v>496</v>
      </c>
      <c r="B55" s="776">
        <v>0.1</v>
      </c>
      <c r="C55" s="777"/>
      <c r="D55" s="777"/>
      <c r="E55" s="777"/>
      <c r="F55" s="777"/>
      <c r="G55" s="777"/>
      <c r="H55" s="777"/>
      <c r="I55" s="777"/>
      <c r="J55" s="777"/>
      <c r="K55" s="777"/>
      <c r="L55" s="777"/>
      <c r="M55" s="777"/>
      <c r="N55" s="777"/>
      <c r="O55" s="777"/>
      <c r="P55" s="777"/>
      <c r="Q55" s="778"/>
      <c r="R55" s="778"/>
      <c r="S55" s="778"/>
      <c r="T55" s="778">
        <f>T54*$B$55</f>
        <v>7278120</v>
      </c>
      <c r="U55" s="778">
        <f>U54*$B$55</f>
        <v>7127520</v>
      </c>
      <c r="V55" s="778">
        <f>V54*$B$55</f>
        <v>10220160</v>
      </c>
      <c r="W55" s="779">
        <f>W54*$B$55</f>
        <v>15259509.119999999</v>
      </c>
    </row>
    <row r="56" spans="1:23" ht="14.5" thickBot="1">
      <c r="A56" s="144" t="s">
        <v>133</v>
      </c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214">
        <f t="shared" ref="Q56:W56" si="14">SUM(Q54:Q55)</f>
        <v>15398400</v>
      </c>
      <c r="R56" s="214">
        <f t="shared" si="14"/>
        <v>17577600</v>
      </c>
      <c r="S56" s="214">
        <f t="shared" si="14"/>
        <v>48195000</v>
      </c>
      <c r="T56" s="214">
        <f t="shared" si="14"/>
        <v>80059320</v>
      </c>
      <c r="U56" s="214">
        <f t="shared" si="14"/>
        <v>78402720</v>
      </c>
      <c r="V56" s="214">
        <f t="shared" si="14"/>
        <v>112421760</v>
      </c>
      <c r="W56" s="438">
        <f t="shared" si="14"/>
        <v>167854600.31999999</v>
      </c>
    </row>
    <row r="57" spans="1:23" ht="14.5" thickTop="1">
      <c r="Q57" s="780"/>
      <c r="R57" s="780"/>
      <c r="S57" s="780"/>
      <c r="T57" s="780"/>
      <c r="U57" s="780"/>
      <c r="V57" s="780"/>
      <c r="W57" s="780"/>
    </row>
    <row r="58" spans="1:23">
      <c r="O58" s="121" t="s">
        <v>497</v>
      </c>
      <c r="Q58" s="696">
        <f>'P&amp;L'!C15*10^7</f>
        <v>0</v>
      </c>
      <c r="R58" s="696">
        <f>'P&amp;L'!D15*10^7</f>
        <v>17462870</v>
      </c>
      <c r="S58" s="696">
        <f>'P&amp;L'!E15*10^7</f>
        <v>48152156.469999999</v>
      </c>
    </row>
    <row r="59" spans="1:23">
      <c r="A59" s="2" t="s">
        <v>498</v>
      </c>
      <c r="O59" s="121" t="s">
        <v>499</v>
      </c>
      <c r="Q59" s="616">
        <f>Q56-Q58</f>
        <v>15398400</v>
      </c>
      <c r="R59" s="616">
        <f>R56-R58</f>
        <v>114730</v>
      </c>
      <c r="S59" s="616">
        <f>S56-S58</f>
        <v>42843.530000001192</v>
      </c>
      <c r="T59" s="141" t="s">
        <v>510</v>
      </c>
    </row>
    <row r="60" spans="1:23">
      <c r="A60" s="141" t="s">
        <v>500</v>
      </c>
      <c r="Q60" s="726"/>
      <c r="R60" s="726"/>
      <c r="S60" s="726"/>
    </row>
    <row r="61" spans="1:23">
      <c r="A61" s="141" t="s">
        <v>501</v>
      </c>
    </row>
    <row r="62" spans="1:23">
      <c r="A62" s="141" t="s">
        <v>502</v>
      </c>
    </row>
    <row r="63" spans="1:23">
      <c r="A63" s="142" t="s">
        <v>503</v>
      </c>
    </row>
  </sheetData>
  <mergeCells count="4">
    <mergeCell ref="A7:A8"/>
    <mergeCell ref="C7:I7"/>
    <mergeCell ref="J7:P7"/>
    <mergeCell ref="Q7:W7"/>
  </mergeCells>
  <pageMargins left="0.7" right="0.7" top="0.75" bottom="0.75" header="0.3" footer="0.3"/>
  <pageSetup orientation="portrait" r:id="rId1"/>
  <customProperties>
    <customPr name="OrphanNamesChecked" r:id="rId2"/>
  </customProperties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C38F-075B-40A3-80BE-09B4E50684B3}">
  <dimension ref="A2:AM44"/>
  <sheetViews>
    <sheetView showGridLines="0" zoomScale="70" zoomScaleNormal="70" workbookViewId="0"/>
  </sheetViews>
  <sheetFormatPr defaultColWidth="9" defaultRowHeight="12.5"/>
  <cols>
    <col min="1" max="1" width="10" style="67" bestFit="1" customWidth="1"/>
    <col min="2" max="2" width="6.453125" style="67" bestFit="1" customWidth="1"/>
    <col min="3" max="3" width="20.26953125" style="67" customWidth="1"/>
    <col min="4" max="4" width="14" style="67" customWidth="1"/>
    <col min="5" max="5" width="8.1796875" style="67" customWidth="1"/>
    <col min="6" max="6" width="9.81640625" style="67" customWidth="1"/>
    <col min="7" max="8" width="10.81640625" style="67" customWidth="1"/>
    <col min="9" max="9" width="13.7265625" style="67" customWidth="1"/>
    <col min="10" max="10" width="8.1796875" style="67" customWidth="1"/>
    <col min="11" max="11" width="9.453125" style="67" customWidth="1"/>
    <col min="12" max="13" width="11.26953125" style="67" customWidth="1"/>
    <col min="14" max="14" width="13.7265625" style="67" customWidth="1"/>
    <col min="15" max="15" width="10.54296875" style="67" bestFit="1" customWidth="1"/>
    <col min="16" max="16" width="13.54296875" style="67" bestFit="1" customWidth="1"/>
    <col min="17" max="17" width="14.1796875" style="67" bestFit="1" customWidth="1"/>
    <col min="18" max="18" width="12.54296875" style="67" bestFit="1" customWidth="1"/>
    <col min="19" max="19" width="15.1796875" style="67" bestFit="1" customWidth="1"/>
    <col min="20" max="20" width="10.81640625" style="67" customWidth="1"/>
    <col min="21" max="21" width="12.54296875" style="67" customWidth="1"/>
    <col min="22" max="22" width="12.54296875" style="67" bestFit="1" customWidth="1"/>
    <col min="23" max="23" width="10.81640625" style="67" bestFit="1" customWidth="1"/>
    <col min="24" max="24" width="15.453125" style="67" customWidth="1"/>
    <col min="25" max="25" width="10.453125" style="67" customWidth="1"/>
    <col min="26" max="26" width="10.54296875" style="67" bestFit="1" customWidth="1"/>
    <col min="27" max="27" width="11.81640625" style="67" bestFit="1" customWidth="1"/>
    <col min="28" max="28" width="11.26953125" style="67" bestFit="1" customWidth="1"/>
    <col min="29" max="29" width="14.54296875" style="67" bestFit="1" customWidth="1"/>
    <col min="30" max="30" width="8.453125" style="67" bestFit="1" customWidth="1"/>
    <col min="31" max="31" width="10.81640625" style="67" bestFit="1" customWidth="1"/>
    <col min="32" max="32" width="11.81640625" style="67" bestFit="1" customWidth="1"/>
    <col min="33" max="33" width="11.26953125" style="67" bestFit="1" customWidth="1"/>
    <col min="34" max="34" width="14.54296875" style="67" bestFit="1" customWidth="1"/>
    <col min="35" max="35" width="8.453125" style="67" bestFit="1" customWidth="1"/>
    <col min="36" max="36" width="10.54296875" style="67" bestFit="1" customWidth="1"/>
    <col min="37" max="37" width="12.54296875" style="67" bestFit="1" customWidth="1"/>
    <col min="38" max="38" width="11.26953125" style="67" bestFit="1" customWidth="1"/>
    <col min="39" max="39" width="15.1796875" style="67" bestFit="1" customWidth="1"/>
    <col min="40" max="16384" width="9" style="67"/>
  </cols>
  <sheetData>
    <row r="2" spans="1:39">
      <c r="C2" s="1056" t="s">
        <v>511</v>
      </c>
      <c r="D2" s="1057"/>
      <c r="E2" s="196">
        <v>12</v>
      </c>
    </row>
    <row r="3" spans="1:39" ht="27" customHeight="1">
      <c r="C3" s="1055" t="s">
        <v>512</v>
      </c>
      <c r="D3" s="1055"/>
      <c r="E3" s="196">
        <v>25</v>
      </c>
    </row>
    <row r="4" spans="1:39" ht="27" customHeight="1">
      <c r="C4" s="1058" t="s">
        <v>513</v>
      </c>
      <c r="D4" s="1059"/>
      <c r="E4" s="199">
        <v>7.0000000000000007E-2</v>
      </c>
    </row>
    <row r="5" spans="1:39">
      <c r="C5" s="1056" t="s">
        <v>514</v>
      </c>
      <c r="D5" s="1057"/>
      <c r="E5" s="145">
        <v>12</v>
      </c>
    </row>
    <row r="6" spans="1:39">
      <c r="P6" s="574"/>
    </row>
    <row r="7" spans="1:39" ht="13">
      <c r="E7" s="1063" t="s">
        <v>515</v>
      </c>
      <c r="F7" s="1064"/>
      <c r="G7" s="1064"/>
      <c r="H7" s="1064"/>
      <c r="I7" s="1065"/>
      <c r="J7" s="1064" t="s">
        <v>516</v>
      </c>
      <c r="K7" s="1064"/>
      <c r="L7" s="1064"/>
      <c r="M7" s="1064"/>
      <c r="N7" s="1064"/>
      <c r="O7" s="1063" t="s">
        <v>85</v>
      </c>
      <c r="P7" s="1064"/>
      <c r="Q7" s="1064"/>
      <c r="R7" s="1064"/>
      <c r="S7" s="1065"/>
      <c r="T7" s="1060" t="s">
        <v>517</v>
      </c>
      <c r="U7" s="1061"/>
      <c r="V7" s="1061"/>
      <c r="W7" s="1061"/>
      <c r="X7" s="1062"/>
      <c r="Y7" s="1060" t="s">
        <v>518</v>
      </c>
      <c r="Z7" s="1061"/>
      <c r="AA7" s="1061"/>
      <c r="AB7" s="1061"/>
      <c r="AC7" s="1062"/>
      <c r="AD7" s="1060" t="s">
        <v>519</v>
      </c>
      <c r="AE7" s="1061"/>
      <c r="AF7" s="1061"/>
      <c r="AG7" s="1061"/>
      <c r="AH7" s="1062"/>
      <c r="AI7" s="1060" t="s">
        <v>520</v>
      </c>
      <c r="AJ7" s="1061"/>
      <c r="AK7" s="1061"/>
      <c r="AL7" s="1061"/>
      <c r="AM7" s="1062"/>
    </row>
    <row r="8" spans="1:39">
      <c r="A8" s="153" t="s">
        <v>86</v>
      </c>
      <c r="B8" s="153" t="s">
        <v>87</v>
      </c>
      <c r="C8" s="153" t="s">
        <v>88</v>
      </c>
      <c r="D8" s="153" t="s">
        <v>89</v>
      </c>
      <c r="E8" s="153" t="s">
        <v>90</v>
      </c>
      <c r="F8" s="154" t="s">
        <v>91</v>
      </c>
      <c r="G8" s="153" t="s">
        <v>92</v>
      </c>
      <c r="H8" s="154" t="s">
        <v>93</v>
      </c>
      <c r="I8" s="153" t="s">
        <v>94</v>
      </c>
      <c r="J8" s="153" t="s">
        <v>90</v>
      </c>
      <c r="K8" s="153" t="s">
        <v>91</v>
      </c>
      <c r="L8" s="153" t="s">
        <v>92</v>
      </c>
      <c r="M8" s="153" t="s">
        <v>93</v>
      </c>
      <c r="N8" s="153" t="s">
        <v>94</v>
      </c>
      <c r="O8" s="153" t="s">
        <v>90</v>
      </c>
      <c r="P8" s="153" t="s">
        <v>91</v>
      </c>
      <c r="Q8" s="153" t="s">
        <v>92</v>
      </c>
      <c r="R8" s="153" t="s">
        <v>93</v>
      </c>
      <c r="S8" s="153" t="s">
        <v>94</v>
      </c>
      <c r="T8" s="153" t="s">
        <v>90</v>
      </c>
      <c r="U8" s="153" t="s">
        <v>91</v>
      </c>
      <c r="V8" s="153" t="s">
        <v>92</v>
      </c>
      <c r="W8" s="153" t="s">
        <v>93</v>
      </c>
      <c r="X8" s="153" t="s">
        <v>94</v>
      </c>
      <c r="Y8" s="153" t="s">
        <v>90</v>
      </c>
      <c r="Z8" s="153" t="s">
        <v>91</v>
      </c>
      <c r="AA8" s="153" t="s">
        <v>92</v>
      </c>
      <c r="AB8" s="153" t="s">
        <v>93</v>
      </c>
      <c r="AC8" s="153" t="s">
        <v>94</v>
      </c>
      <c r="AD8" s="153" t="s">
        <v>90</v>
      </c>
      <c r="AE8" s="153" t="s">
        <v>91</v>
      </c>
      <c r="AF8" s="153" t="s">
        <v>92</v>
      </c>
      <c r="AG8" s="153" t="s">
        <v>93</v>
      </c>
      <c r="AH8" s="153" t="s">
        <v>94</v>
      </c>
      <c r="AI8" s="153" t="s">
        <v>90</v>
      </c>
      <c r="AJ8" s="153" t="s">
        <v>91</v>
      </c>
      <c r="AK8" s="153" t="s">
        <v>92</v>
      </c>
      <c r="AL8" s="153" t="s">
        <v>93</v>
      </c>
      <c r="AM8" s="153" t="s">
        <v>94</v>
      </c>
    </row>
    <row r="9" spans="1:39">
      <c r="A9" s="146">
        <v>1</v>
      </c>
      <c r="B9" s="146" t="s">
        <v>95</v>
      </c>
      <c r="C9" s="146" t="s">
        <v>96</v>
      </c>
      <c r="D9" s="67" t="s">
        <v>97</v>
      </c>
      <c r="E9" s="171">
        <v>16376</v>
      </c>
      <c r="F9" s="166">
        <v>335123.33333333331</v>
      </c>
      <c r="G9" s="171">
        <f>F9*$E$2</f>
        <v>4021480</v>
      </c>
      <c r="H9" s="166"/>
      <c r="I9" s="171">
        <f>G9+H9</f>
        <v>4021480</v>
      </c>
      <c r="J9" s="171">
        <v>16376</v>
      </c>
      <c r="K9" s="166">
        <v>409387.66666666669</v>
      </c>
      <c r="L9" s="171">
        <f>K9*$E$2</f>
        <v>4912652</v>
      </c>
      <c r="M9" s="166"/>
      <c r="N9" s="171">
        <f>L9+M9</f>
        <v>4912652</v>
      </c>
      <c r="O9" s="928">
        <v>17654</v>
      </c>
      <c r="P9" s="198">
        <v>441357.33333333331</v>
      </c>
      <c r="Q9" s="928">
        <v>5296288</v>
      </c>
      <c r="R9" s="198"/>
      <c r="S9" s="928">
        <f>Q9+R9</f>
        <v>5296288</v>
      </c>
      <c r="T9" s="171">
        <f>O9</f>
        <v>17654</v>
      </c>
      <c r="U9" s="166">
        <f>P9*(100%+$E$4)</f>
        <v>472252.34666666668</v>
      </c>
      <c r="V9" s="171">
        <f>U9*$E$2</f>
        <v>5667028.1600000001</v>
      </c>
      <c r="W9" s="166"/>
      <c r="X9" s="171">
        <f>V9+W9</f>
        <v>5667028.1600000001</v>
      </c>
      <c r="Y9" s="171">
        <f>T9*2</f>
        <v>35308</v>
      </c>
      <c r="Z9" s="166">
        <f>U9*(100%+$E$4)</f>
        <v>505310.01093333337</v>
      </c>
      <c r="AA9" s="171">
        <f>Z9*$E$2</f>
        <v>6063720.1312000006</v>
      </c>
      <c r="AB9" s="166"/>
      <c r="AC9" s="171">
        <f>AA9+AB9</f>
        <v>6063720.1312000006</v>
      </c>
      <c r="AD9" s="171">
        <f>Y9*1.5</f>
        <v>52962</v>
      </c>
      <c r="AE9" s="166">
        <f>Z9*(100%+$E$4)</f>
        <v>540681.71169866668</v>
      </c>
      <c r="AF9" s="171">
        <f t="shared" ref="AF9:AF21" si="0">AE9*$E$2</f>
        <v>6488180.5403840002</v>
      </c>
      <c r="AG9" s="166"/>
      <c r="AH9" s="171">
        <f>AF9+AG9</f>
        <v>6488180.5403840002</v>
      </c>
      <c r="AI9" s="171">
        <f>AD9</f>
        <v>52962</v>
      </c>
      <c r="AJ9" s="166">
        <f>AE9*(100%+$E$4)</f>
        <v>578529.43151757342</v>
      </c>
      <c r="AK9" s="171">
        <f t="shared" ref="AK9:AK21" si="1">AJ9*$E$2</f>
        <v>6942353.1782108806</v>
      </c>
      <c r="AL9" s="166"/>
      <c r="AM9" s="171">
        <f t="shared" ref="AM9:AM21" si="2">AK9+AL9</f>
        <v>6942353.1782108806</v>
      </c>
    </row>
    <row r="10" spans="1:39">
      <c r="A10" s="148">
        <f>A9+1</f>
        <v>2</v>
      </c>
      <c r="B10" s="148" t="s">
        <v>95</v>
      </c>
      <c r="C10" s="148" t="s">
        <v>521</v>
      </c>
      <c r="D10" s="67" t="s">
        <v>99</v>
      </c>
      <c r="E10" s="171"/>
      <c r="F10" s="166"/>
      <c r="G10" s="171"/>
      <c r="H10" s="166"/>
      <c r="I10" s="171"/>
      <c r="J10" s="171">
        <v>717</v>
      </c>
      <c r="K10" s="166">
        <f>L10/4</f>
        <v>17925</v>
      </c>
      <c r="L10" s="171">
        <v>71700</v>
      </c>
      <c r="M10" s="166"/>
      <c r="N10" s="171">
        <f>L10+M10</f>
        <v>71700</v>
      </c>
      <c r="O10" s="928">
        <v>2756</v>
      </c>
      <c r="P10" s="198">
        <v>77232</v>
      </c>
      <c r="Q10" s="928">
        <v>926793</v>
      </c>
      <c r="R10" s="198"/>
      <c r="S10" s="928">
        <f t="shared" ref="S10:S14" si="3">Q10+R10</f>
        <v>926793</v>
      </c>
      <c r="T10" s="171">
        <f>O10</f>
        <v>2756</v>
      </c>
      <c r="U10" s="166">
        <f t="shared" ref="U10:U13" si="4">P10*(100%+$E$4)</f>
        <v>82638.240000000005</v>
      </c>
      <c r="V10" s="171">
        <f t="shared" ref="V10:V21" si="5">U10*$E$2</f>
        <v>991658.88000000012</v>
      </c>
      <c r="W10" s="166"/>
      <c r="X10" s="171">
        <f t="shared" ref="X10:X21" si="6">V10+W10</f>
        <v>991658.88000000012</v>
      </c>
      <c r="Y10" s="171">
        <f>T10*1.5</f>
        <v>4134</v>
      </c>
      <c r="Z10" s="166">
        <f t="shared" ref="Z10:Z21" si="7">U10*(100%+$E$4)</f>
        <v>88422.916800000006</v>
      </c>
      <c r="AA10" s="171">
        <f t="shared" ref="AA10:AA21" si="8">Z10*$E$2</f>
        <v>1061075.0016000001</v>
      </c>
      <c r="AB10" s="166"/>
      <c r="AC10" s="171">
        <f t="shared" ref="AC10:AC21" si="9">AA10+AB10</f>
        <v>1061075.0016000001</v>
      </c>
      <c r="AD10" s="171">
        <f>Y10*1.5</f>
        <v>6201</v>
      </c>
      <c r="AE10" s="166">
        <f t="shared" ref="AE10:AE21" si="10">Z10*(100%+$E$4)</f>
        <v>94612.520976000014</v>
      </c>
      <c r="AF10" s="171">
        <f t="shared" si="0"/>
        <v>1135350.2517120002</v>
      </c>
      <c r="AG10" s="166"/>
      <c r="AH10" s="171">
        <f t="shared" ref="AH10:AH21" si="11">AF10+AG10</f>
        <v>1135350.2517120002</v>
      </c>
      <c r="AI10" s="171">
        <f t="shared" ref="AI10:AI21" si="12">AD10</f>
        <v>6201</v>
      </c>
      <c r="AJ10" s="166">
        <f t="shared" ref="AJ10:AJ21" si="13">AE10*(100%+$E$4)</f>
        <v>101235.39744432003</v>
      </c>
      <c r="AK10" s="171">
        <f t="shared" si="1"/>
        <v>1214824.7693318403</v>
      </c>
      <c r="AL10" s="166"/>
      <c r="AM10" s="171">
        <f t="shared" si="2"/>
        <v>1214824.7693318403</v>
      </c>
    </row>
    <row r="11" spans="1:39">
      <c r="A11" s="148">
        <f>A10+1</f>
        <v>3</v>
      </c>
      <c r="B11" s="148" t="s">
        <v>100</v>
      </c>
      <c r="C11" s="148" t="s">
        <v>101</v>
      </c>
      <c r="D11" s="67" t="s">
        <v>99</v>
      </c>
      <c r="E11" s="171"/>
      <c r="F11" s="166"/>
      <c r="G11" s="171"/>
      <c r="H11" s="166"/>
      <c r="I11" s="171"/>
      <c r="J11" s="171">
        <v>675</v>
      </c>
      <c r="K11" s="166">
        <f>L11/4</f>
        <v>16875</v>
      </c>
      <c r="L11" s="171">
        <v>67500</v>
      </c>
      <c r="M11" s="166"/>
      <c r="N11" s="171">
        <f>L11+M11</f>
        <v>67500</v>
      </c>
      <c r="O11" s="928">
        <v>1022</v>
      </c>
      <c r="P11" s="198">
        <v>25537</v>
      </c>
      <c r="Q11" s="928">
        <v>306450</v>
      </c>
      <c r="R11" s="198"/>
      <c r="S11" s="928">
        <f t="shared" si="3"/>
        <v>306450</v>
      </c>
      <c r="T11" s="171">
        <v>5000</v>
      </c>
      <c r="U11" s="166">
        <f>P11*(100%+$E$4)</f>
        <v>27324.59</v>
      </c>
      <c r="V11" s="171">
        <f t="shared" si="5"/>
        <v>327895.08</v>
      </c>
      <c r="W11" s="166"/>
      <c r="X11" s="171">
        <f t="shared" si="6"/>
        <v>327895.08</v>
      </c>
      <c r="Y11" s="171">
        <f t="shared" ref="Y11:Y21" si="14">T11</f>
        <v>5000</v>
      </c>
      <c r="Z11" s="166">
        <f t="shared" si="7"/>
        <v>29237.311300000001</v>
      </c>
      <c r="AA11" s="171">
        <f t="shared" si="8"/>
        <v>350847.73560000001</v>
      </c>
      <c r="AB11" s="166"/>
      <c r="AC11" s="171">
        <f t="shared" si="9"/>
        <v>350847.73560000001</v>
      </c>
      <c r="AD11" s="171">
        <f>Y11*2</f>
        <v>10000</v>
      </c>
      <c r="AE11" s="166">
        <f t="shared" si="10"/>
        <v>31283.923091000004</v>
      </c>
      <c r="AF11" s="171">
        <f t="shared" si="0"/>
        <v>375407.07709200005</v>
      </c>
      <c r="AG11" s="166"/>
      <c r="AH11" s="171">
        <f t="shared" si="11"/>
        <v>375407.07709200005</v>
      </c>
      <c r="AI11" s="171">
        <f t="shared" si="12"/>
        <v>10000</v>
      </c>
      <c r="AJ11" s="166">
        <f t="shared" si="13"/>
        <v>33473.797707370009</v>
      </c>
      <c r="AK11" s="171">
        <f t="shared" si="1"/>
        <v>401685.57248844008</v>
      </c>
      <c r="AL11" s="166"/>
      <c r="AM11" s="171">
        <f t="shared" si="2"/>
        <v>401685.57248844008</v>
      </c>
    </row>
    <row r="12" spans="1:39">
      <c r="A12" s="148">
        <f t="shared" ref="A12:A21" si="15">A11+1</f>
        <v>4</v>
      </c>
      <c r="B12" s="148" t="s">
        <v>102</v>
      </c>
      <c r="C12" s="148" t="s">
        <v>103</v>
      </c>
      <c r="D12" s="67" t="s">
        <v>104</v>
      </c>
      <c r="E12" s="171"/>
      <c r="F12" s="166"/>
      <c r="G12" s="171"/>
      <c r="H12" s="166"/>
      <c r="I12" s="171"/>
      <c r="J12" s="171"/>
      <c r="K12" s="166"/>
      <c r="L12" s="171"/>
      <c r="M12" s="166"/>
      <c r="N12" s="171"/>
      <c r="O12" s="928">
        <v>754</v>
      </c>
      <c r="P12" s="198">
        <v>18841</v>
      </c>
      <c r="Q12" s="928">
        <v>226100</v>
      </c>
      <c r="R12" s="198"/>
      <c r="S12" s="928">
        <f t="shared" si="3"/>
        <v>226100</v>
      </c>
      <c r="T12" s="171">
        <v>5000</v>
      </c>
      <c r="U12" s="166">
        <f t="shared" si="4"/>
        <v>20159.870000000003</v>
      </c>
      <c r="V12" s="171">
        <f t="shared" si="5"/>
        <v>241918.44000000003</v>
      </c>
      <c r="W12" s="166"/>
      <c r="X12" s="171">
        <f t="shared" si="6"/>
        <v>241918.44000000003</v>
      </c>
      <c r="Y12" s="171">
        <f t="shared" si="14"/>
        <v>5000</v>
      </c>
      <c r="Z12" s="166">
        <f t="shared" si="7"/>
        <v>21571.060900000004</v>
      </c>
      <c r="AA12" s="171">
        <f t="shared" si="8"/>
        <v>258852.73080000005</v>
      </c>
      <c r="AB12" s="166"/>
      <c r="AC12" s="171">
        <f t="shared" si="9"/>
        <v>258852.73080000005</v>
      </c>
      <c r="AD12" s="171">
        <f>Y12*2</f>
        <v>10000</v>
      </c>
      <c r="AE12" s="166">
        <f t="shared" si="10"/>
        <v>23081.035163000004</v>
      </c>
      <c r="AF12" s="171">
        <f t="shared" si="0"/>
        <v>276972.42195600003</v>
      </c>
      <c r="AG12" s="166"/>
      <c r="AH12" s="171">
        <f t="shared" si="11"/>
        <v>276972.42195600003</v>
      </c>
      <c r="AI12" s="171">
        <f t="shared" si="12"/>
        <v>10000</v>
      </c>
      <c r="AJ12" s="166">
        <f t="shared" si="13"/>
        <v>24696.707624410006</v>
      </c>
      <c r="AK12" s="171">
        <f t="shared" si="1"/>
        <v>296360.49149292009</v>
      </c>
      <c r="AL12" s="166"/>
      <c r="AM12" s="171">
        <f t="shared" si="2"/>
        <v>296360.49149292009</v>
      </c>
    </row>
    <row r="13" spans="1:39">
      <c r="A13" s="148">
        <f t="shared" si="15"/>
        <v>5</v>
      </c>
      <c r="B13" s="148" t="s">
        <v>102</v>
      </c>
      <c r="C13" s="148" t="s">
        <v>105</v>
      </c>
      <c r="D13" s="67" t="s">
        <v>106</v>
      </c>
      <c r="E13" s="171"/>
      <c r="F13" s="166"/>
      <c r="G13" s="171"/>
      <c r="H13" s="166"/>
      <c r="I13" s="171"/>
      <c r="J13" s="171"/>
      <c r="K13" s="166"/>
      <c r="L13" s="171"/>
      <c r="M13" s="166"/>
      <c r="N13" s="171"/>
      <c r="O13" s="928">
        <v>0</v>
      </c>
      <c r="P13" s="198">
        <v>0</v>
      </c>
      <c r="Q13" s="928">
        <v>0</v>
      </c>
      <c r="R13" s="198"/>
      <c r="S13" s="928">
        <f t="shared" si="3"/>
        <v>0</v>
      </c>
      <c r="T13" s="171">
        <v>2000</v>
      </c>
      <c r="U13" s="166">
        <f t="shared" si="4"/>
        <v>0</v>
      </c>
      <c r="V13" s="171">
        <f t="shared" si="5"/>
        <v>0</v>
      </c>
      <c r="W13" s="166"/>
      <c r="X13" s="171">
        <f t="shared" si="6"/>
        <v>0</v>
      </c>
      <c r="Y13" s="171">
        <f t="shared" si="14"/>
        <v>2000</v>
      </c>
      <c r="Z13" s="166">
        <f t="shared" si="7"/>
        <v>0</v>
      </c>
      <c r="AA13" s="171">
        <f t="shared" si="8"/>
        <v>0</v>
      </c>
      <c r="AB13" s="166"/>
      <c r="AC13" s="171">
        <f t="shared" si="9"/>
        <v>0</v>
      </c>
      <c r="AD13" s="171">
        <f t="shared" ref="AD13:AD21" si="16">Y13</f>
        <v>2000</v>
      </c>
      <c r="AE13" s="166">
        <f t="shared" si="10"/>
        <v>0</v>
      </c>
      <c r="AF13" s="171">
        <f t="shared" si="0"/>
        <v>0</v>
      </c>
      <c r="AG13" s="166"/>
      <c r="AH13" s="171">
        <f t="shared" si="11"/>
        <v>0</v>
      </c>
      <c r="AI13" s="171">
        <f t="shared" si="12"/>
        <v>2000</v>
      </c>
      <c r="AJ13" s="166">
        <f t="shared" si="13"/>
        <v>0</v>
      </c>
      <c r="AK13" s="171">
        <f t="shared" si="1"/>
        <v>0</v>
      </c>
      <c r="AL13" s="166"/>
      <c r="AM13" s="171">
        <f t="shared" si="2"/>
        <v>0</v>
      </c>
    </row>
    <row r="14" spans="1:39">
      <c r="A14" s="148">
        <f t="shared" si="15"/>
        <v>6</v>
      </c>
      <c r="B14" s="148" t="s">
        <v>107</v>
      </c>
      <c r="C14" s="148" t="s">
        <v>108</v>
      </c>
      <c r="D14" s="67" t="s">
        <v>104</v>
      </c>
      <c r="E14" s="171"/>
      <c r="F14" s="166"/>
      <c r="G14" s="171"/>
      <c r="H14" s="166"/>
      <c r="I14" s="171"/>
      <c r="J14" s="171"/>
      <c r="K14" s="166"/>
      <c r="L14" s="171"/>
      <c r="M14" s="166"/>
      <c r="N14" s="171"/>
      <c r="O14" s="928">
        <v>771</v>
      </c>
      <c r="P14" s="198">
        <v>19275</v>
      </c>
      <c r="Q14" s="928">
        <v>231300</v>
      </c>
      <c r="R14" s="198"/>
      <c r="S14" s="928">
        <f t="shared" si="3"/>
        <v>231300</v>
      </c>
      <c r="T14" s="171">
        <f>O14</f>
        <v>771</v>
      </c>
      <c r="U14" s="166">
        <f>P14*(100%+$E$4)</f>
        <v>20624.25</v>
      </c>
      <c r="V14" s="171">
        <f t="shared" si="5"/>
        <v>247491</v>
      </c>
      <c r="W14" s="166"/>
      <c r="X14" s="171">
        <f t="shared" si="6"/>
        <v>247491</v>
      </c>
      <c r="Y14" s="171">
        <f t="shared" si="14"/>
        <v>771</v>
      </c>
      <c r="Z14" s="166">
        <f t="shared" si="7"/>
        <v>22067.947500000002</v>
      </c>
      <c r="AA14" s="171">
        <f t="shared" si="8"/>
        <v>264815.37</v>
      </c>
      <c r="AB14" s="166"/>
      <c r="AC14" s="171">
        <f t="shared" si="9"/>
        <v>264815.37</v>
      </c>
      <c r="AD14" s="171">
        <f t="shared" si="16"/>
        <v>771</v>
      </c>
      <c r="AE14" s="166">
        <f t="shared" si="10"/>
        <v>23612.703825000004</v>
      </c>
      <c r="AF14" s="171">
        <f t="shared" si="0"/>
        <v>283352.44590000005</v>
      </c>
      <c r="AG14" s="166"/>
      <c r="AH14" s="171">
        <f t="shared" si="11"/>
        <v>283352.44590000005</v>
      </c>
      <c r="AI14" s="171">
        <f t="shared" si="12"/>
        <v>771</v>
      </c>
      <c r="AJ14" s="166">
        <f t="shared" si="13"/>
        <v>25265.593092750005</v>
      </c>
      <c r="AK14" s="171">
        <f t="shared" si="1"/>
        <v>303187.11711300007</v>
      </c>
      <c r="AL14" s="166"/>
      <c r="AM14" s="171">
        <f t="shared" si="2"/>
        <v>303187.11711300007</v>
      </c>
    </row>
    <row r="15" spans="1:39" s="151" customFormat="1">
      <c r="A15" s="150">
        <f t="shared" si="15"/>
        <v>7</v>
      </c>
      <c r="B15" s="150" t="s">
        <v>95</v>
      </c>
      <c r="C15" s="150" t="s">
        <v>522</v>
      </c>
      <c r="D15" s="151" t="s">
        <v>104</v>
      </c>
      <c r="E15" s="432"/>
      <c r="F15" s="433"/>
      <c r="G15" s="432"/>
      <c r="H15" s="433"/>
      <c r="I15" s="432"/>
      <c r="J15" s="432"/>
      <c r="K15" s="433"/>
      <c r="L15" s="432"/>
      <c r="M15" s="433"/>
      <c r="N15" s="432"/>
      <c r="O15" s="432"/>
      <c r="P15" s="433"/>
      <c r="Q15" s="432"/>
      <c r="R15" s="433"/>
      <c r="S15" s="432"/>
      <c r="T15" s="432">
        <v>1000</v>
      </c>
      <c r="U15" s="433">
        <f t="shared" ref="U15:U21" si="17">T15*$E$3</f>
        <v>25000</v>
      </c>
      <c r="V15" s="432">
        <f>U15*$E$2</f>
        <v>300000</v>
      </c>
      <c r="W15" s="433"/>
      <c r="X15" s="432">
        <f>V15+W15</f>
        <v>300000</v>
      </c>
      <c r="Y15" s="432">
        <f>T15</f>
        <v>1000</v>
      </c>
      <c r="Z15" s="433">
        <f>U15*(100%+$E$4)</f>
        <v>26750</v>
      </c>
      <c r="AA15" s="432">
        <f t="shared" si="8"/>
        <v>321000</v>
      </c>
      <c r="AB15" s="433"/>
      <c r="AC15" s="432">
        <f>AA15+AB15</f>
        <v>321000</v>
      </c>
      <c r="AD15" s="432">
        <f>Y15</f>
        <v>1000</v>
      </c>
      <c r="AE15" s="433">
        <f t="shared" si="10"/>
        <v>28622.5</v>
      </c>
      <c r="AF15" s="432">
        <f t="shared" si="0"/>
        <v>343470</v>
      </c>
      <c r="AG15" s="433"/>
      <c r="AH15" s="432">
        <f>AF15+AG15</f>
        <v>343470</v>
      </c>
      <c r="AI15" s="432">
        <f>AD15</f>
        <v>1000</v>
      </c>
      <c r="AJ15" s="433">
        <f t="shared" si="13"/>
        <v>30626.075000000001</v>
      </c>
      <c r="AK15" s="432">
        <f t="shared" si="1"/>
        <v>367512.9</v>
      </c>
      <c r="AL15" s="433"/>
      <c r="AM15" s="432">
        <f t="shared" si="2"/>
        <v>367512.9</v>
      </c>
    </row>
    <row r="16" spans="1:39" s="151" customFormat="1">
      <c r="A16" s="150">
        <f t="shared" si="15"/>
        <v>8</v>
      </c>
      <c r="B16" s="150" t="s">
        <v>95</v>
      </c>
      <c r="C16" s="653" t="s">
        <v>523</v>
      </c>
      <c r="D16" s="654"/>
      <c r="E16" s="432"/>
      <c r="F16" s="433"/>
      <c r="G16" s="432"/>
      <c r="H16" s="433"/>
      <c r="I16" s="432"/>
      <c r="J16" s="432"/>
      <c r="K16" s="433"/>
      <c r="L16" s="432"/>
      <c r="M16" s="433"/>
      <c r="N16" s="432"/>
      <c r="O16" s="432"/>
      <c r="P16" s="433"/>
      <c r="Q16" s="432"/>
      <c r="R16" s="433"/>
      <c r="S16" s="432"/>
      <c r="T16" s="655">
        <v>2000</v>
      </c>
      <c r="U16" s="433">
        <f t="shared" si="17"/>
        <v>50000</v>
      </c>
      <c r="V16" s="432">
        <f t="shared" si="5"/>
        <v>600000</v>
      </c>
      <c r="W16" s="433"/>
      <c r="X16" s="655">
        <f t="shared" si="6"/>
        <v>600000</v>
      </c>
      <c r="Y16" s="655">
        <f t="shared" si="14"/>
        <v>2000</v>
      </c>
      <c r="Z16" s="433">
        <f t="shared" si="7"/>
        <v>53500</v>
      </c>
      <c r="AA16" s="432">
        <f t="shared" si="8"/>
        <v>642000</v>
      </c>
      <c r="AB16" s="433"/>
      <c r="AC16" s="655">
        <f t="shared" si="9"/>
        <v>642000</v>
      </c>
      <c r="AD16" s="655">
        <f t="shared" si="16"/>
        <v>2000</v>
      </c>
      <c r="AE16" s="433">
        <f t="shared" si="10"/>
        <v>57245</v>
      </c>
      <c r="AF16" s="432">
        <f t="shared" si="0"/>
        <v>686940</v>
      </c>
      <c r="AG16" s="433"/>
      <c r="AH16" s="655">
        <f t="shared" si="11"/>
        <v>686940</v>
      </c>
      <c r="AI16" s="655">
        <f t="shared" si="12"/>
        <v>2000</v>
      </c>
      <c r="AJ16" s="433">
        <f t="shared" si="13"/>
        <v>61252.15</v>
      </c>
      <c r="AK16" s="432">
        <f t="shared" si="1"/>
        <v>735025.8</v>
      </c>
      <c r="AL16" s="433"/>
      <c r="AM16" s="655">
        <f t="shared" si="2"/>
        <v>735025.8</v>
      </c>
    </row>
    <row r="17" spans="1:39" s="151" customFormat="1">
      <c r="A17" s="150">
        <f t="shared" si="15"/>
        <v>9</v>
      </c>
      <c r="B17" s="150" t="s">
        <v>100</v>
      </c>
      <c r="C17" s="150" t="s">
        <v>524</v>
      </c>
      <c r="E17" s="432"/>
      <c r="F17" s="433"/>
      <c r="G17" s="432"/>
      <c r="H17" s="433"/>
      <c r="I17" s="432"/>
      <c r="J17" s="432"/>
      <c r="K17" s="433"/>
      <c r="L17" s="432"/>
      <c r="M17" s="433"/>
      <c r="N17" s="432"/>
      <c r="O17" s="432"/>
      <c r="P17" s="433"/>
      <c r="Q17" s="432"/>
      <c r="R17" s="433"/>
      <c r="S17" s="432"/>
      <c r="T17" s="655">
        <v>2000</v>
      </c>
      <c r="U17" s="433">
        <f t="shared" si="17"/>
        <v>50000</v>
      </c>
      <c r="V17" s="432">
        <f t="shared" si="5"/>
        <v>600000</v>
      </c>
      <c r="W17" s="433"/>
      <c r="X17" s="655">
        <f t="shared" si="6"/>
        <v>600000</v>
      </c>
      <c r="Y17" s="655">
        <f t="shared" si="14"/>
        <v>2000</v>
      </c>
      <c r="Z17" s="433">
        <f t="shared" si="7"/>
        <v>53500</v>
      </c>
      <c r="AA17" s="432">
        <f t="shared" si="8"/>
        <v>642000</v>
      </c>
      <c r="AB17" s="433"/>
      <c r="AC17" s="655">
        <f t="shared" si="9"/>
        <v>642000</v>
      </c>
      <c r="AD17" s="655">
        <f t="shared" si="16"/>
        <v>2000</v>
      </c>
      <c r="AE17" s="433">
        <f t="shared" si="10"/>
        <v>57245</v>
      </c>
      <c r="AF17" s="432">
        <f t="shared" si="0"/>
        <v>686940</v>
      </c>
      <c r="AG17" s="433"/>
      <c r="AH17" s="655">
        <f t="shared" si="11"/>
        <v>686940</v>
      </c>
      <c r="AI17" s="655">
        <f t="shared" si="12"/>
        <v>2000</v>
      </c>
      <c r="AJ17" s="433">
        <f t="shared" si="13"/>
        <v>61252.15</v>
      </c>
      <c r="AK17" s="432">
        <f t="shared" si="1"/>
        <v>735025.8</v>
      </c>
      <c r="AL17" s="433"/>
      <c r="AM17" s="655">
        <f t="shared" si="2"/>
        <v>735025.8</v>
      </c>
    </row>
    <row r="18" spans="1:39" s="151" customFormat="1">
      <c r="A18" s="150">
        <f t="shared" si="15"/>
        <v>10</v>
      </c>
      <c r="B18" s="150" t="s">
        <v>107</v>
      </c>
      <c r="C18" s="150" t="s">
        <v>494</v>
      </c>
      <c r="E18" s="432"/>
      <c r="F18" s="433"/>
      <c r="G18" s="432"/>
      <c r="H18" s="433"/>
      <c r="I18" s="432"/>
      <c r="J18" s="432"/>
      <c r="K18" s="433"/>
      <c r="L18" s="432"/>
      <c r="M18" s="433"/>
      <c r="N18" s="432"/>
      <c r="O18" s="432"/>
      <c r="P18" s="433"/>
      <c r="Q18" s="432"/>
      <c r="R18" s="433"/>
      <c r="S18" s="432"/>
      <c r="T18" s="655">
        <v>2000</v>
      </c>
      <c r="U18" s="433">
        <f t="shared" si="17"/>
        <v>50000</v>
      </c>
      <c r="V18" s="432">
        <f t="shared" si="5"/>
        <v>600000</v>
      </c>
      <c r="W18" s="433"/>
      <c r="X18" s="655">
        <f t="shared" si="6"/>
        <v>600000</v>
      </c>
      <c r="Y18" s="655">
        <f t="shared" si="14"/>
        <v>2000</v>
      </c>
      <c r="Z18" s="433">
        <f t="shared" si="7"/>
        <v>53500</v>
      </c>
      <c r="AA18" s="432">
        <f t="shared" si="8"/>
        <v>642000</v>
      </c>
      <c r="AB18" s="433"/>
      <c r="AC18" s="655">
        <f t="shared" si="9"/>
        <v>642000</v>
      </c>
      <c r="AD18" s="655">
        <f t="shared" si="16"/>
        <v>2000</v>
      </c>
      <c r="AE18" s="433">
        <f t="shared" si="10"/>
        <v>57245</v>
      </c>
      <c r="AF18" s="432">
        <f t="shared" si="0"/>
        <v>686940</v>
      </c>
      <c r="AG18" s="433"/>
      <c r="AH18" s="655">
        <f t="shared" si="11"/>
        <v>686940</v>
      </c>
      <c r="AI18" s="655">
        <f t="shared" si="12"/>
        <v>2000</v>
      </c>
      <c r="AJ18" s="433">
        <f t="shared" si="13"/>
        <v>61252.15</v>
      </c>
      <c r="AK18" s="432">
        <f t="shared" si="1"/>
        <v>735025.8</v>
      </c>
      <c r="AL18" s="433"/>
      <c r="AM18" s="655">
        <f t="shared" si="2"/>
        <v>735025.8</v>
      </c>
    </row>
    <row r="19" spans="1:39" s="151" customFormat="1">
      <c r="A19" s="150">
        <f t="shared" si="15"/>
        <v>11</v>
      </c>
      <c r="B19" s="150" t="s">
        <v>100</v>
      </c>
      <c r="C19" s="150" t="s">
        <v>303</v>
      </c>
      <c r="E19" s="432"/>
      <c r="F19" s="433"/>
      <c r="G19" s="432"/>
      <c r="H19" s="433"/>
      <c r="I19" s="432"/>
      <c r="J19" s="432"/>
      <c r="K19" s="433"/>
      <c r="L19" s="432"/>
      <c r="M19" s="433"/>
      <c r="N19" s="432"/>
      <c r="O19" s="432"/>
      <c r="P19" s="433"/>
      <c r="Q19" s="432"/>
      <c r="R19" s="433"/>
      <c r="S19" s="432"/>
      <c r="T19" s="655">
        <v>2000</v>
      </c>
      <c r="U19" s="433">
        <f t="shared" si="17"/>
        <v>50000</v>
      </c>
      <c r="V19" s="432">
        <f t="shared" si="5"/>
        <v>600000</v>
      </c>
      <c r="W19" s="433"/>
      <c r="X19" s="655">
        <f t="shared" si="6"/>
        <v>600000</v>
      </c>
      <c r="Y19" s="655">
        <f t="shared" si="14"/>
        <v>2000</v>
      </c>
      <c r="Z19" s="433">
        <f t="shared" si="7"/>
        <v>53500</v>
      </c>
      <c r="AA19" s="432">
        <f t="shared" si="8"/>
        <v>642000</v>
      </c>
      <c r="AB19" s="433"/>
      <c r="AC19" s="655">
        <f t="shared" si="9"/>
        <v>642000</v>
      </c>
      <c r="AD19" s="655">
        <f t="shared" si="16"/>
        <v>2000</v>
      </c>
      <c r="AE19" s="433">
        <f t="shared" si="10"/>
        <v>57245</v>
      </c>
      <c r="AF19" s="432">
        <f t="shared" si="0"/>
        <v>686940</v>
      </c>
      <c r="AG19" s="433"/>
      <c r="AH19" s="655">
        <f t="shared" si="11"/>
        <v>686940</v>
      </c>
      <c r="AI19" s="655">
        <f t="shared" si="12"/>
        <v>2000</v>
      </c>
      <c r="AJ19" s="433">
        <f t="shared" si="13"/>
        <v>61252.15</v>
      </c>
      <c r="AK19" s="432">
        <f t="shared" si="1"/>
        <v>735025.8</v>
      </c>
      <c r="AL19" s="433"/>
      <c r="AM19" s="655">
        <f t="shared" si="2"/>
        <v>735025.8</v>
      </c>
    </row>
    <row r="20" spans="1:39" s="151" customFormat="1">
      <c r="A20" s="150">
        <f t="shared" si="15"/>
        <v>12</v>
      </c>
      <c r="B20" s="150" t="s">
        <v>107</v>
      </c>
      <c r="C20" s="150" t="s">
        <v>525</v>
      </c>
      <c r="E20" s="432"/>
      <c r="F20" s="433"/>
      <c r="G20" s="432"/>
      <c r="H20" s="433"/>
      <c r="I20" s="432"/>
      <c r="J20" s="432"/>
      <c r="K20" s="433"/>
      <c r="L20" s="432"/>
      <c r="M20" s="433"/>
      <c r="N20" s="432"/>
      <c r="O20" s="432"/>
      <c r="P20" s="433"/>
      <c r="Q20" s="432"/>
      <c r="R20" s="433"/>
      <c r="S20" s="432"/>
      <c r="T20" s="655">
        <v>2000</v>
      </c>
      <c r="U20" s="433">
        <f t="shared" si="17"/>
        <v>50000</v>
      </c>
      <c r="V20" s="432">
        <f t="shared" si="5"/>
        <v>600000</v>
      </c>
      <c r="W20" s="433"/>
      <c r="X20" s="655">
        <f t="shared" si="6"/>
        <v>600000</v>
      </c>
      <c r="Y20" s="655">
        <f t="shared" si="14"/>
        <v>2000</v>
      </c>
      <c r="Z20" s="433">
        <f t="shared" si="7"/>
        <v>53500</v>
      </c>
      <c r="AA20" s="432">
        <f t="shared" si="8"/>
        <v>642000</v>
      </c>
      <c r="AB20" s="433"/>
      <c r="AC20" s="655">
        <f t="shared" si="9"/>
        <v>642000</v>
      </c>
      <c r="AD20" s="655">
        <f t="shared" si="16"/>
        <v>2000</v>
      </c>
      <c r="AE20" s="433">
        <f t="shared" si="10"/>
        <v>57245</v>
      </c>
      <c r="AF20" s="432">
        <f t="shared" si="0"/>
        <v>686940</v>
      </c>
      <c r="AG20" s="433"/>
      <c r="AH20" s="655">
        <f t="shared" si="11"/>
        <v>686940</v>
      </c>
      <c r="AI20" s="655">
        <f t="shared" si="12"/>
        <v>2000</v>
      </c>
      <c r="AJ20" s="433">
        <f t="shared" si="13"/>
        <v>61252.15</v>
      </c>
      <c r="AK20" s="432">
        <f t="shared" si="1"/>
        <v>735025.8</v>
      </c>
      <c r="AL20" s="433"/>
      <c r="AM20" s="655">
        <f t="shared" si="2"/>
        <v>735025.8</v>
      </c>
    </row>
    <row r="21" spans="1:39" s="151" customFormat="1">
      <c r="A21" s="150">
        <f t="shared" si="15"/>
        <v>13</v>
      </c>
      <c r="B21" s="150" t="s">
        <v>102</v>
      </c>
      <c r="C21" s="150" t="s">
        <v>526</v>
      </c>
      <c r="E21" s="432"/>
      <c r="F21" s="433"/>
      <c r="G21" s="432"/>
      <c r="H21" s="433"/>
      <c r="I21" s="432"/>
      <c r="J21" s="432"/>
      <c r="K21" s="433"/>
      <c r="L21" s="432"/>
      <c r="M21" s="433"/>
      <c r="N21" s="432"/>
      <c r="O21" s="432"/>
      <c r="P21" s="433"/>
      <c r="Q21" s="432"/>
      <c r="R21" s="433"/>
      <c r="S21" s="432"/>
      <c r="T21" s="655">
        <v>2000</v>
      </c>
      <c r="U21" s="433">
        <f t="shared" si="17"/>
        <v>50000</v>
      </c>
      <c r="V21" s="432">
        <f t="shared" si="5"/>
        <v>600000</v>
      </c>
      <c r="W21" s="433"/>
      <c r="X21" s="655">
        <f t="shared" si="6"/>
        <v>600000</v>
      </c>
      <c r="Y21" s="655">
        <f t="shared" si="14"/>
        <v>2000</v>
      </c>
      <c r="Z21" s="433">
        <f t="shared" si="7"/>
        <v>53500</v>
      </c>
      <c r="AA21" s="432">
        <f t="shared" si="8"/>
        <v>642000</v>
      </c>
      <c r="AB21" s="433"/>
      <c r="AC21" s="655">
        <f t="shared" si="9"/>
        <v>642000</v>
      </c>
      <c r="AD21" s="655">
        <f t="shared" si="16"/>
        <v>2000</v>
      </c>
      <c r="AE21" s="433">
        <f t="shared" si="10"/>
        <v>57245</v>
      </c>
      <c r="AF21" s="432">
        <f t="shared" si="0"/>
        <v>686940</v>
      </c>
      <c r="AG21" s="433"/>
      <c r="AH21" s="655">
        <f t="shared" si="11"/>
        <v>686940</v>
      </c>
      <c r="AI21" s="655">
        <f t="shared" si="12"/>
        <v>2000</v>
      </c>
      <c r="AJ21" s="433">
        <f t="shared" si="13"/>
        <v>61252.15</v>
      </c>
      <c r="AK21" s="432">
        <f t="shared" si="1"/>
        <v>735025.8</v>
      </c>
      <c r="AL21" s="433"/>
      <c r="AM21" s="655">
        <f t="shared" si="2"/>
        <v>735025.8</v>
      </c>
    </row>
    <row r="22" spans="1:39" ht="13.5" thickBot="1">
      <c r="A22" s="176"/>
      <c r="B22" s="176"/>
      <c r="C22" s="152" t="s">
        <v>299</v>
      </c>
      <c r="D22" s="152"/>
      <c r="E22" s="434">
        <f t="shared" ref="E22:AM22" si="18">SUM(E9:E21)</f>
        <v>16376</v>
      </c>
      <c r="F22" s="435">
        <f t="shared" si="18"/>
        <v>335123.33333333331</v>
      </c>
      <c r="G22" s="434">
        <f t="shared" si="18"/>
        <v>4021480</v>
      </c>
      <c r="H22" s="435">
        <f t="shared" si="18"/>
        <v>0</v>
      </c>
      <c r="I22" s="444">
        <f t="shared" si="18"/>
        <v>4021480</v>
      </c>
      <c r="J22" s="434">
        <f t="shared" si="18"/>
        <v>17768</v>
      </c>
      <c r="K22" s="435">
        <f t="shared" si="18"/>
        <v>444187.66666666669</v>
      </c>
      <c r="L22" s="434">
        <f t="shared" si="18"/>
        <v>5051852</v>
      </c>
      <c r="M22" s="435">
        <f t="shared" si="18"/>
        <v>0</v>
      </c>
      <c r="N22" s="444">
        <f t="shared" si="18"/>
        <v>5051852</v>
      </c>
      <c r="O22" s="434">
        <f t="shared" si="18"/>
        <v>22957</v>
      </c>
      <c r="P22" s="435">
        <f t="shared" si="18"/>
        <v>582242.33333333326</v>
      </c>
      <c r="Q22" s="765">
        <f t="shared" si="18"/>
        <v>6986931</v>
      </c>
      <c r="R22" s="435">
        <f t="shared" si="18"/>
        <v>0</v>
      </c>
      <c r="S22" s="444">
        <f>SUM(S9:S21)</f>
        <v>6986931</v>
      </c>
      <c r="T22" s="434">
        <f t="shared" si="18"/>
        <v>46181</v>
      </c>
      <c r="U22" s="435">
        <f t="shared" si="18"/>
        <v>947999.29666666663</v>
      </c>
      <c r="V22" s="434">
        <f t="shared" si="18"/>
        <v>11375991.560000001</v>
      </c>
      <c r="W22" s="435">
        <f t="shared" si="18"/>
        <v>0</v>
      </c>
      <c r="X22" s="444">
        <f t="shared" si="18"/>
        <v>11375991.560000001</v>
      </c>
      <c r="Y22" s="434">
        <f t="shared" si="18"/>
        <v>65213</v>
      </c>
      <c r="Z22" s="435">
        <f t="shared" si="18"/>
        <v>1014359.2474333333</v>
      </c>
      <c r="AA22" s="434">
        <f t="shared" si="18"/>
        <v>12172310.9692</v>
      </c>
      <c r="AB22" s="435">
        <f t="shared" si="18"/>
        <v>0</v>
      </c>
      <c r="AC22" s="444">
        <f t="shared" si="18"/>
        <v>12172310.9692</v>
      </c>
      <c r="AD22" s="434">
        <f t="shared" si="18"/>
        <v>94934</v>
      </c>
      <c r="AE22" s="435">
        <f t="shared" si="18"/>
        <v>1085364.3947536666</v>
      </c>
      <c r="AF22" s="434">
        <f t="shared" si="18"/>
        <v>13024372.737044001</v>
      </c>
      <c r="AG22" s="435">
        <f t="shared" si="18"/>
        <v>0</v>
      </c>
      <c r="AH22" s="444">
        <f t="shared" si="18"/>
        <v>13024372.737044001</v>
      </c>
      <c r="AI22" s="434">
        <f t="shared" si="18"/>
        <v>94934</v>
      </c>
      <c r="AJ22" s="435">
        <f t="shared" si="18"/>
        <v>1161339.9023864234</v>
      </c>
      <c r="AK22" s="434">
        <f t="shared" si="18"/>
        <v>13936078.828637086</v>
      </c>
      <c r="AL22" s="435">
        <f t="shared" si="18"/>
        <v>0</v>
      </c>
      <c r="AM22" s="444">
        <f t="shared" si="18"/>
        <v>13936078.828637086</v>
      </c>
    </row>
    <row r="23" spans="1:39" ht="13" thickTop="1">
      <c r="I23" s="67" t="s">
        <v>146</v>
      </c>
      <c r="N23" s="67" t="s">
        <v>146</v>
      </c>
      <c r="S23" s="67" t="s">
        <v>146</v>
      </c>
      <c r="X23" s="67" t="s">
        <v>146</v>
      </c>
      <c r="AC23" s="67" t="s">
        <v>146</v>
      </c>
      <c r="AH23" s="67" t="s">
        <v>146</v>
      </c>
      <c r="AJ23" s="166"/>
      <c r="AM23" s="67" t="s">
        <v>146</v>
      </c>
    </row>
    <row r="24" spans="1:39">
      <c r="N24" s="198"/>
      <c r="O24" s="198"/>
      <c r="P24" s="198"/>
      <c r="Q24" s="198"/>
      <c r="R24" s="198"/>
      <c r="S24" s="198"/>
    </row>
    <row r="25" spans="1:39">
      <c r="N25" s="520"/>
      <c r="S25" s="520"/>
    </row>
    <row r="26" spans="1:39" ht="13">
      <c r="A26" s="54" t="s">
        <v>527</v>
      </c>
    </row>
    <row r="27" spans="1:39" s="54" customFormat="1" ht="52">
      <c r="A27" s="296" t="s">
        <v>86</v>
      </c>
      <c r="B27" s="296" t="s">
        <v>87</v>
      </c>
      <c r="C27" s="296" t="s">
        <v>88</v>
      </c>
      <c r="D27" s="296"/>
      <c r="E27" s="296"/>
      <c r="F27" s="701"/>
      <c r="G27" s="296"/>
      <c r="H27" s="701"/>
      <c r="I27" s="296"/>
      <c r="J27" s="296"/>
      <c r="K27" s="296"/>
      <c r="L27" s="296"/>
      <c r="M27" s="296"/>
      <c r="N27" s="296"/>
      <c r="O27" s="296"/>
      <c r="P27" s="296"/>
      <c r="Q27" s="296"/>
      <c r="R27" s="296"/>
      <c r="S27" s="296"/>
      <c r="T27" s="845" t="s">
        <v>528</v>
      </c>
      <c r="U27" s="846" t="s">
        <v>529</v>
      </c>
      <c r="V27" s="846"/>
      <c r="W27" s="846"/>
      <c r="X27" s="845" t="s">
        <v>530</v>
      </c>
      <c r="Y27" s="845" t="s">
        <v>528</v>
      </c>
      <c r="Z27" s="846" t="s">
        <v>529</v>
      </c>
      <c r="AA27" s="846"/>
      <c r="AB27" s="846"/>
      <c r="AC27" s="845" t="s">
        <v>530</v>
      </c>
      <c r="AD27" s="845" t="s">
        <v>528</v>
      </c>
      <c r="AE27" s="846" t="s">
        <v>529</v>
      </c>
      <c r="AF27" s="846"/>
      <c r="AG27" s="846"/>
      <c r="AH27" s="845" t="s">
        <v>530</v>
      </c>
      <c r="AI27" s="845" t="s">
        <v>528</v>
      </c>
      <c r="AJ27" s="846" t="s">
        <v>529</v>
      </c>
      <c r="AK27" s="846"/>
      <c r="AL27" s="846"/>
      <c r="AM27" s="845" t="s">
        <v>530</v>
      </c>
    </row>
    <row r="28" spans="1:39">
      <c r="A28" s="146">
        <v>1</v>
      </c>
      <c r="B28" s="146" t="s">
        <v>95</v>
      </c>
      <c r="C28" s="146" t="s">
        <v>96</v>
      </c>
      <c r="T28" s="783">
        <f>T9-O9</f>
        <v>0</v>
      </c>
      <c r="U28" s="520">
        <f>T28*(U9/T9)</f>
        <v>0</v>
      </c>
      <c r="X28" s="520">
        <f t="shared" ref="X28:X40" si="19">U28*$E$5</f>
        <v>0</v>
      </c>
      <c r="Y28" s="782">
        <f t="shared" ref="Y28:Y40" si="20">Y9-T9</f>
        <v>17654</v>
      </c>
      <c r="Z28" s="520">
        <f>Y28*(Z9/Y9)</f>
        <v>252655.00546666668</v>
      </c>
      <c r="AC28" s="520">
        <f t="shared" ref="AC28:AC40" si="21">Z28*$E$5</f>
        <v>3031860.0656000003</v>
      </c>
      <c r="AD28" s="782">
        <f t="shared" ref="AD28:AD40" si="22">AD9-Y9</f>
        <v>17654</v>
      </c>
      <c r="AE28" s="520">
        <f>AD28*(AE9/AD9)</f>
        <v>180227.23723288887</v>
      </c>
      <c r="AH28" s="520">
        <f t="shared" ref="AH28:AH40" si="23">AE28*$E$5</f>
        <v>2162726.8467946667</v>
      </c>
      <c r="AI28" s="782">
        <f t="shared" ref="AI28:AI40" si="24">AI9-AD9</f>
        <v>0</v>
      </c>
      <c r="AJ28" s="520">
        <f>AI28*(AJ9/AI9)</f>
        <v>0</v>
      </c>
      <c r="AM28" s="576">
        <f t="shared" ref="AM28:AM40" si="25">AJ28*$E$5</f>
        <v>0</v>
      </c>
    </row>
    <row r="29" spans="1:39">
      <c r="A29" s="148">
        <f>A28+1</f>
        <v>2</v>
      </c>
      <c r="B29" s="148" t="s">
        <v>95</v>
      </c>
      <c r="C29" s="148" t="s">
        <v>521</v>
      </c>
      <c r="T29" s="782">
        <f t="shared" ref="T29" si="26">T10-O10</f>
        <v>0</v>
      </c>
      <c r="U29" s="520">
        <f t="shared" ref="U29" si="27">T29*(U10/T10)</f>
        <v>0</v>
      </c>
      <c r="X29" s="520">
        <f t="shared" si="19"/>
        <v>0</v>
      </c>
      <c r="Y29" s="782">
        <f t="shared" si="20"/>
        <v>1378</v>
      </c>
      <c r="Z29" s="520">
        <f t="shared" ref="Z29" si="28">Y29*(Z10/Y10)</f>
        <v>29474.305600000003</v>
      </c>
      <c r="AC29" s="520">
        <f t="shared" si="21"/>
        <v>353691.66720000003</v>
      </c>
      <c r="AD29" s="782">
        <f t="shared" si="22"/>
        <v>2067</v>
      </c>
      <c r="AE29" s="520">
        <f t="shared" ref="AE29" si="29">AD29*(AE10/AD10)</f>
        <v>31537.506992000006</v>
      </c>
      <c r="AH29" s="520">
        <f t="shared" si="23"/>
        <v>378450.08390400006</v>
      </c>
      <c r="AI29" s="782">
        <f t="shared" si="24"/>
        <v>0</v>
      </c>
      <c r="AJ29" s="520">
        <f t="shared" ref="AJ29" si="30">AI29*(AJ10/AI10)</f>
        <v>0</v>
      </c>
      <c r="AM29" s="576">
        <f t="shared" si="25"/>
        <v>0</v>
      </c>
    </row>
    <row r="30" spans="1:39">
      <c r="A30" s="148">
        <f>A29+1</f>
        <v>3</v>
      </c>
      <c r="B30" s="148" t="s">
        <v>100</v>
      </c>
      <c r="C30" s="148" t="s">
        <v>101</v>
      </c>
      <c r="T30" s="782">
        <f t="shared" ref="T30:T41" si="31">T11-O11</f>
        <v>3978</v>
      </c>
      <c r="U30" s="520">
        <f>T30*(U11/T11)</f>
        <v>21739.443803999999</v>
      </c>
      <c r="X30" s="520">
        <f>U30*$E$5</f>
        <v>260873.325648</v>
      </c>
      <c r="Y30" s="782">
        <f t="shared" si="20"/>
        <v>0</v>
      </c>
      <c r="Z30" s="520">
        <f>Y30*(Z11/Y11)</f>
        <v>0</v>
      </c>
      <c r="AC30" s="520">
        <f t="shared" si="21"/>
        <v>0</v>
      </c>
      <c r="AD30" s="782">
        <f t="shared" si="22"/>
        <v>5000</v>
      </c>
      <c r="AE30" s="520">
        <f>AD30*(AE11/AD11)</f>
        <v>15641.961545500002</v>
      </c>
      <c r="AH30" s="520">
        <f t="shared" si="23"/>
        <v>187703.53854600003</v>
      </c>
      <c r="AI30" s="782">
        <f t="shared" si="24"/>
        <v>0</v>
      </c>
      <c r="AJ30" s="520">
        <f>AI30*(AJ11/AI11)</f>
        <v>0</v>
      </c>
      <c r="AM30" s="576">
        <f t="shared" si="25"/>
        <v>0</v>
      </c>
    </row>
    <row r="31" spans="1:39">
      <c r="A31" s="148">
        <f t="shared" ref="A31:A40" si="32">A30+1</f>
        <v>4</v>
      </c>
      <c r="B31" s="148" t="s">
        <v>102</v>
      </c>
      <c r="C31" s="148" t="s">
        <v>103</v>
      </c>
      <c r="T31" s="782">
        <f t="shared" si="31"/>
        <v>4246</v>
      </c>
      <c r="U31" s="520">
        <f t="shared" ref="U31:U40" si="33">T31*(U12/T12)</f>
        <v>17119.761604000003</v>
      </c>
      <c r="X31" s="520">
        <f t="shared" si="19"/>
        <v>205437.13924800005</v>
      </c>
      <c r="Y31" s="782">
        <f t="shared" si="20"/>
        <v>0</v>
      </c>
      <c r="Z31" s="520">
        <f t="shared" ref="Z31:Z40" si="34">Y31*(Z12/Y12)</f>
        <v>0</v>
      </c>
      <c r="AC31" s="520">
        <f t="shared" si="21"/>
        <v>0</v>
      </c>
      <c r="AD31" s="782">
        <f t="shared" si="22"/>
        <v>5000</v>
      </c>
      <c r="AE31" s="520">
        <f t="shared" ref="AE31:AE40" si="35">AD31*(AE12/AD12)</f>
        <v>11540.517581500002</v>
      </c>
      <c r="AH31" s="520">
        <f t="shared" si="23"/>
        <v>138486.21097800002</v>
      </c>
      <c r="AI31" s="782">
        <f t="shared" si="24"/>
        <v>0</v>
      </c>
      <c r="AJ31" s="520">
        <f t="shared" ref="AJ31:AJ40" si="36">AI31*(AJ12/AI12)</f>
        <v>0</v>
      </c>
      <c r="AM31" s="576">
        <f t="shared" si="25"/>
        <v>0</v>
      </c>
    </row>
    <row r="32" spans="1:39">
      <c r="A32" s="148">
        <f t="shared" si="32"/>
        <v>5</v>
      </c>
      <c r="B32" s="148" t="s">
        <v>102</v>
      </c>
      <c r="C32" s="148" t="s">
        <v>105</v>
      </c>
      <c r="T32" s="782">
        <f t="shared" si="31"/>
        <v>2000</v>
      </c>
      <c r="U32" s="520">
        <f t="shared" si="33"/>
        <v>0</v>
      </c>
      <c r="X32" s="520">
        <f t="shared" si="19"/>
        <v>0</v>
      </c>
      <c r="Y32" s="782">
        <f t="shared" si="20"/>
        <v>0</v>
      </c>
      <c r="Z32" s="520">
        <f t="shared" si="34"/>
        <v>0</v>
      </c>
      <c r="AC32" s="520">
        <f t="shared" si="21"/>
        <v>0</v>
      </c>
      <c r="AD32" s="782">
        <f t="shared" si="22"/>
        <v>0</v>
      </c>
      <c r="AE32" s="520">
        <f t="shared" si="35"/>
        <v>0</v>
      </c>
      <c r="AH32" s="520">
        <f t="shared" si="23"/>
        <v>0</v>
      </c>
      <c r="AI32" s="782">
        <f t="shared" si="24"/>
        <v>0</v>
      </c>
      <c r="AJ32" s="520">
        <f t="shared" si="36"/>
        <v>0</v>
      </c>
      <c r="AM32" s="576">
        <f t="shared" si="25"/>
        <v>0</v>
      </c>
    </row>
    <row r="33" spans="1:39">
      <c r="A33" s="148">
        <f t="shared" si="32"/>
        <v>6</v>
      </c>
      <c r="B33" s="148" t="s">
        <v>107</v>
      </c>
      <c r="C33" s="148" t="s">
        <v>108</v>
      </c>
      <c r="T33" s="782">
        <f t="shared" si="31"/>
        <v>0</v>
      </c>
      <c r="U33" s="520">
        <f t="shared" si="33"/>
        <v>0</v>
      </c>
      <c r="X33" s="520">
        <f t="shared" si="19"/>
        <v>0</v>
      </c>
      <c r="Y33" s="782">
        <f t="shared" si="20"/>
        <v>0</v>
      </c>
      <c r="Z33" s="520">
        <f t="shared" si="34"/>
        <v>0</v>
      </c>
      <c r="AC33" s="520">
        <f t="shared" si="21"/>
        <v>0</v>
      </c>
      <c r="AD33" s="782">
        <f t="shared" si="22"/>
        <v>0</v>
      </c>
      <c r="AE33" s="520">
        <f t="shared" si="35"/>
        <v>0</v>
      </c>
      <c r="AH33" s="520">
        <f t="shared" si="23"/>
        <v>0</v>
      </c>
      <c r="AI33" s="782">
        <f t="shared" si="24"/>
        <v>0</v>
      </c>
      <c r="AJ33" s="520">
        <f t="shared" si="36"/>
        <v>0</v>
      </c>
      <c r="AM33" s="576">
        <f t="shared" si="25"/>
        <v>0</v>
      </c>
    </row>
    <row r="34" spans="1:39">
      <c r="A34" s="150">
        <f t="shared" si="32"/>
        <v>7</v>
      </c>
      <c r="B34" s="150" t="s">
        <v>95</v>
      </c>
      <c r="C34" s="150" t="s">
        <v>522</v>
      </c>
      <c r="T34" s="782">
        <f t="shared" si="31"/>
        <v>1000</v>
      </c>
      <c r="U34" s="520">
        <f t="shared" si="33"/>
        <v>25000</v>
      </c>
      <c r="X34" s="520">
        <f t="shared" si="19"/>
        <v>300000</v>
      </c>
      <c r="Y34" s="782">
        <f t="shared" si="20"/>
        <v>0</v>
      </c>
      <c r="Z34" s="520">
        <f t="shared" si="34"/>
        <v>0</v>
      </c>
      <c r="AC34" s="520">
        <f t="shared" si="21"/>
        <v>0</v>
      </c>
      <c r="AD34" s="782">
        <f t="shared" si="22"/>
        <v>0</v>
      </c>
      <c r="AE34" s="520">
        <f t="shared" si="35"/>
        <v>0</v>
      </c>
      <c r="AH34" s="520">
        <f t="shared" si="23"/>
        <v>0</v>
      </c>
      <c r="AI34" s="782">
        <f t="shared" si="24"/>
        <v>0</v>
      </c>
      <c r="AJ34" s="520">
        <f t="shared" si="36"/>
        <v>0</v>
      </c>
      <c r="AM34" s="576">
        <f t="shared" si="25"/>
        <v>0</v>
      </c>
    </row>
    <row r="35" spans="1:39">
      <c r="A35" s="150">
        <f t="shared" si="32"/>
        <v>8</v>
      </c>
      <c r="B35" s="150" t="s">
        <v>95</v>
      </c>
      <c r="C35" s="653" t="s">
        <v>523</v>
      </c>
      <c r="T35" s="782">
        <f t="shared" si="31"/>
        <v>2000</v>
      </c>
      <c r="U35" s="520">
        <f t="shared" si="33"/>
        <v>50000</v>
      </c>
      <c r="X35" s="520">
        <f t="shared" si="19"/>
        <v>600000</v>
      </c>
      <c r="Y35" s="782">
        <f t="shared" si="20"/>
        <v>0</v>
      </c>
      <c r="Z35" s="520">
        <f t="shared" si="34"/>
        <v>0</v>
      </c>
      <c r="AC35" s="520">
        <f t="shared" si="21"/>
        <v>0</v>
      </c>
      <c r="AD35" s="782">
        <f t="shared" si="22"/>
        <v>0</v>
      </c>
      <c r="AE35" s="520">
        <f t="shared" si="35"/>
        <v>0</v>
      </c>
      <c r="AH35" s="520">
        <f t="shared" si="23"/>
        <v>0</v>
      </c>
      <c r="AI35" s="782">
        <f t="shared" si="24"/>
        <v>0</v>
      </c>
      <c r="AJ35" s="520">
        <f t="shared" si="36"/>
        <v>0</v>
      </c>
      <c r="AM35" s="576">
        <f t="shared" si="25"/>
        <v>0</v>
      </c>
    </row>
    <row r="36" spans="1:39">
      <c r="A36" s="150">
        <f t="shared" si="32"/>
        <v>9</v>
      </c>
      <c r="B36" s="150" t="s">
        <v>100</v>
      </c>
      <c r="C36" s="150" t="s">
        <v>524</v>
      </c>
      <c r="T36" s="782">
        <f t="shared" si="31"/>
        <v>2000</v>
      </c>
      <c r="U36" s="520">
        <f t="shared" si="33"/>
        <v>50000</v>
      </c>
      <c r="X36" s="520">
        <f t="shared" si="19"/>
        <v>600000</v>
      </c>
      <c r="Y36" s="782">
        <f t="shared" si="20"/>
        <v>0</v>
      </c>
      <c r="Z36" s="520">
        <f t="shared" si="34"/>
        <v>0</v>
      </c>
      <c r="AC36" s="520">
        <f t="shared" si="21"/>
        <v>0</v>
      </c>
      <c r="AD36" s="782">
        <f t="shared" si="22"/>
        <v>0</v>
      </c>
      <c r="AE36" s="520">
        <f t="shared" si="35"/>
        <v>0</v>
      </c>
      <c r="AH36" s="520">
        <f t="shared" si="23"/>
        <v>0</v>
      </c>
      <c r="AI36" s="782">
        <f t="shared" si="24"/>
        <v>0</v>
      </c>
      <c r="AJ36" s="520">
        <f t="shared" si="36"/>
        <v>0</v>
      </c>
      <c r="AM36" s="576">
        <f t="shared" si="25"/>
        <v>0</v>
      </c>
    </row>
    <row r="37" spans="1:39">
      <c r="A37" s="150">
        <f t="shared" si="32"/>
        <v>10</v>
      </c>
      <c r="B37" s="150" t="s">
        <v>107</v>
      </c>
      <c r="C37" s="150" t="s">
        <v>494</v>
      </c>
      <c r="T37" s="782">
        <f t="shared" si="31"/>
        <v>2000</v>
      </c>
      <c r="U37" s="520">
        <f t="shared" si="33"/>
        <v>50000</v>
      </c>
      <c r="X37" s="520">
        <f t="shared" si="19"/>
        <v>600000</v>
      </c>
      <c r="Y37" s="782">
        <f t="shared" si="20"/>
        <v>0</v>
      </c>
      <c r="Z37" s="520">
        <f t="shared" si="34"/>
        <v>0</v>
      </c>
      <c r="AC37" s="520">
        <f t="shared" si="21"/>
        <v>0</v>
      </c>
      <c r="AD37" s="782">
        <f t="shared" si="22"/>
        <v>0</v>
      </c>
      <c r="AE37" s="520">
        <f t="shared" si="35"/>
        <v>0</v>
      </c>
      <c r="AH37" s="520">
        <f t="shared" si="23"/>
        <v>0</v>
      </c>
      <c r="AI37" s="782">
        <f t="shared" si="24"/>
        <v>0</v>
      </c>
      <c r="AJ37" s="520">
        <f t="shared" si="36"/>
        <v>0</v>
      </c>
      <c r="AM37" s="576">
        <f t="shared" si="25"/>
        <v>0</v>
      </c>
    </row>
    <row r="38" spans="1:39">
      <c r="A38" s="150">
        <f t="shared" si="32"/>
        <v>11</v>
      </c>
      <c r="B38" s="150" t="s">
        <v>100</v>
      </c>
      <c r="C38" s="150" t="s">
        <v>303</v>
      </c>
      <c r="T38" s="782">
        <f t="shared" si="31"/>
        <v>2000</v>
      </c>
      <c r="U38" s="520">
        <f t="shared" si="33"/>
        <v>50000</v>
      </c>
      <c r="X38" s="520">
        <f t="shared" si="19"/>
        <v>600000</v>
      </c>
      <c r="Y38" s="782">
        <f t="shared" si="20"/>
        <v>0</v>
      </c>
      <c r="Z38" s="520">
        <f t="shared" si="34"/>
        <v>0</v>
      </c>
      <c r="AC38" s="520">
        <f t="shared" si="21"/>
        <v>0</v>
      </c>
      <c r="AD38" s="782">
        <f t="shared" si="22"/>
        <v>0</v>
      </c>
      <c r="AE38" s="520">
        <f t="shared" si="35"/>
        <v>0</v>
      </c>
      <c r="AH38" s="520">
        <f t="shared" si="23"/>
        <v>0</v>
      </c>
      <c r="AI38" s="782">
        <f t="shared" si="24"/>
        <v>0</v>
      </c>
      <c r="AJ38" s="520">
        <f t="shared" si="36"/>
        <v>0</v>
      </c>
      <c r="AM38" s="576">
        <f t="shared" si="25"/>
        <v>0</v>
      </c>
    </row>
    <row r="39" spans="1:39">
      <c r="A39" s="150">
        <f t="shared" si="32"/>
        <v>12</v>
      </c>
      <c r="B39" s="150" t="s">
        <v>107</v>
      </c>
      <c r="C39" s="150" t="s">
        <v>525</v>
      </c>
      <c r="T39" s="782">
        <f t="shared" si="31"/>
        <v>2000</v>
      </c>
      <c r="U39" s="520">
        <f t="shared" si="33"/>
        <v>50000</v>
      </c>
      <c r="X39" s="520">
        <f t="shared" si="19"/>
        <v>600000</v>
      </c>
      <c r="Y39" s="782">
        <f t="shared" si="20"/>
        <v>0</v>
      </c>
      <c r="Z39" s="520">
        <f t="shared" si="34"/>
        <v>0</v>
      </c>
      <c r="AC39" s="520">
        <f t="shared" si="21"/>
        <v>0</v>
      </c>
      <c r="AD39" s="782">
        <f t="shared" si="22"/>
        <v>0</v>
      </c>
      <c r="AE39" s="520">
        <f t="shared" si="35"/>
        <v>0</v>
      </c>
      <c r="AH39" s="520">
        <f t="shared" si="23"/>
        <v>0</v>
      </c>
      <c r="AI39" s="782">
        <f t="shared" si="24"/>
        <v>0</v>
      </c>
      <c r="AJ39" s="520">
        <f t="shared" si="36"/>
        <v>0</v>
      </c>
      <c r="AM39" s="576">
        <f t="shared" si="25"/>
        <v>0</v>
      </c>
    </row>
    <row r="40" spans="1:39">
      <c r="A40" s="150">
        <f t="shared" si="32"/>
        <v>13</v>
      </c>
      <c r="B40" s="150" t="s">
        <v>102</v>
      </c>
      <c r="C40" s="150" t="s">
        <v>526</v>
      </c>
      <c r="T40" s="782">
        <f t="shared" si="31"/>
        <v>2000</v>
      </c>
      <c r="U40" s="520">
        <f t="shared" si="33"/>
        <v>50000</v>
      </c>
      <c r="X40" s="520">
        <f t="shared" si="19"/>
        <v>600000</v>
      </c>
      <c r="Y40" s="782">
        <f t="shared" si="20"/>
        <v>0</v>
      </c>
      <c r="Z40" s="520">
        <f t="shared" si="34"/>
        <v>0</v>
      </c>
      <c r="AC40" s="520">
        <f t="shared" si="21"/>
        <v>0</v>
      </c>
      <c r="AD40" s="782">
        <f t="shared" si="22"/>
        <v>0</v>
      </c>
      <c r="AE40" s="520">
        <f t="shared" si="35"/>
        <v>0</v>
      </c>
      <c r="AH40" s="520">
        <f t="shared" si="23"/>
        <v>0</v>
      </c>
      <c r="AI40" s="782">
        <f t="shared" si="24"/>
        <v>0</v>
      </c>
      <c r="AJ40" s="520">
        <f t="shared" si="36"/>
        <v>0</v>
      </c>
      <c r="AM40" s="576">
        <f t="shared" si="25"/>
        <v>0</v>
      </c>
    </row>
    <row r="41" spans="1:39" s="852" customFormat="1" ht="13.5" thickBot="1">
      <c r="A41" s="851"/>
      <c r="B41" s="851"/>
      <c r="C41" s="851" t="s">
        <v>299</v>
      </c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173">
        <f t="shared" si="31"/>
        <v>23224</v>
      </c>
      <c r="U41" s="378"/>
      <c r="V41" s="378"/>
      <c r="W41" s="378"/>
      <c r="X41" s="849">
        <f>SUM(X28:X40)</f>
        <v>4366310.464896</v>
      </c>
      <c r="Y41" s="173">
        <f>Y22-T22</f>
        <v>19032</v>
      </c>
      <c r="Z41" s="378"/>
      <c r="AA41" s="378"/>
      <c r="AB41" s="378"/>
      <c r="AC41" s="849">
        <f>SUM(AC28:AC40)</f>
        <v>3385551.7328000003</v>
      </c>
      <c r="AD41" s="173">
        <f>AD22-Y22</f>
        <v>29721</v>
      </c>
      <c r="AE41" s="378"/>
      <c r="AF41" s="378"/>
      <c r="AG41" s="378"/>
      <c r="AH41" s="849">
        <f>SUM(AH28:AH40)</f>
        <v>2867366.6802226668</v>
      </c>
      <c r="AI41" s="173">
        <f>AI22-AD22</f>
        <v>0</v>
      </c>
      <c r="AJ41" s="378"/>
      <c r="AK41" s="378"/>
      <c r="AL41" s="378"/>
      <c r="AM41" s="850">
        <f>SUM(AM28:AM40)</f>
        <v>0</v>
      </c>
    </row>
    <row r="42" spans="1:39" ht="13" thickTop="1">
      <c r="T42" s="520">
        <f>SUM(T28:T40)-T41</f>
        <v>0</v>
      </c>
      <c r="Y42" s="520">
        <f>SUM(Y28:Y40)-Y41</f>
        <v>0</v>
      </c>
      <c r="AD42" s="520">
        <f>SUM(AD28:AD40)-AD41</f>
        <v>0</v>
      </c>
      <c r="AI42" s="520">
        <f>SUM(AI28:AI40)-AI41</f>
        <v>0</v>
      </c>
    </row>
    <row r="44" spans="1:39" ht="13">
      <c r="A44" s="844" t="s">
        <v>531</v>
      </c>
    </row>
  </sheetData>
  <mergeCells count="11">
    <mergeCell ref="C3:D3"/>
    <mergeCell ref="C2:D2"/>
    <mergeCell ref="C4:D4"/>
    <mergeCell ref="AI7:AM7"/>
    <mergeCell ref="E7:I7"/>
    <mergeCell ref="J7:N7"/>
    <mergeCell ref="O7:S7"/>
    <mergeCell ref="T7:X7"/>
    <mergeCell ref="Y7:AC7"/>
    <mergeCell ref="AD7:AH7"/>
    <mergeCell ref="C5:D5"/>
  </mergeCells>
  <pageMargins left="0.7" right="0.7" top="0.75" bottom="0.75" header="0.3" footer="0.3"/>
  <customProperties>
    <customPr name="OrphanNamesChecked" r:id="rId1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8B8B-E2D1-9545-9110-57D9D6BC97A0}">
  <dimension ref="A2:W58"/>
  <sheetViews>
    <sheetView showGridLines="0" zoomScale="60" zoomScaleNormal="60" workbookViewId="0">
      <pane xSplit="2" ySplit="8" topLeftCell="C38" activePane="bottomRight" state="frozen"/>
      <selection pane="topRight" activeCell="C1" sqref="C1"/>
      <selection pane="bottomLeft" activeCell="A9" sqref="A9"/>
      <selection pane="bottomRight" activeCell="F28" sqref="F28"/>
    </sheetView>
  </sheetViews>
  <sheetFormatPr defaultColWidth="8" defaultRowHeight="14"/>
  <cols>
    <col min="1" max="1" width="49.453125" style="121" bestFit="1" customWidth="1"/>
    <col min="2" max="2" width="20.54296875" style="121" customWidth="1"/>
    <col min="3" max="3" width="10.81640625" style="121" customWidth="1"/>
    <col min="4" max="4" width="9.54296875" style="121" customWidth="1"/>
    <col min="5" max="5" width="10" style="121" customWidth="1"/>
    <col min="6" max="6" width="10.54296875" style="121" customWidth="1"/>
    <col min="7" max="7" width="9.54296875" style="121" customWidth="1"/>
    <col min="8" max="8" width="11.1796875" style="121" customWidth="1"/>
    <col min="9" max="9" width="10" style="121" customWidth="1"/>
    <col min="10" max="10" width="13.81640625" style="121" bestFit="1" customWidth="1"/>
    <col min="11" max="11" width="11.54296875" style="121" bestFit="1" customWidth="1"/>
    <col min="12" max="12" width="13.81640625" style="121" bestFit="1" customWidth="1"/>
    <col min="13" max="13" width="14.1796875" style="121" customWidth="1"/>
    <col min="14" max="14" width="15.54296875" style="121" customWidth="1"/>
    <col min="15" max="16" width="12.81640625" style="121" bestFit="1" customWidth="1"/>
    <col min="17" max="19" width="13.81640625" style="121" bestFit="1" customWidth="1"/>
    <col min="20" max="21" width="14.26953125" style="121" bestFit="1" customWidth="1"/>
    <col min="22" max="22" width="14.54296875" style="121" bestFit="1" customWidth="1"/>
    <col min="23" max="23" width="15" style="121" bestFit="1" customWidth="1"/>
    <col min="24" max="16384" width="8" style="121"/>
  </cols>
  <sheetData>
    <row r="2" spans="1:23" ht="15.5">
      <c r="A2" s="119" t="s">
        <v>459</v>
      </c>
      <c r="B2" s="120"/>
    </row>
    <row r="3" spans="1:23" ht="15.5">
      <c r="A3" s="119"/>
      <c r="B3" s="120"/>
      <c r="J3" s="800"/>
      <c r="K3" s="800" t="s">
        <v>504</v>
      </c>
      <c r="L3" s="800" t="s">
        <v>505</v>
      </c>
      <c r="M3" s="800" t="s">
        <v>506</v>
      </c>
      <c r="N3" s="800" t="s">
        <v>507</v>
      </c>
    </row>
    <row r="4" spans="1:23" ht="18">
      <c r="A4" s="215"/>
      <c r="J4" s="800" t="s">
        <v>508</v>
      </c>
      <c r="K4" s="801">
        <v>0.8</v>
      </c>
      <c r="L4" s="801">
        <v>0.8</v>
      </c>
      <c r="M4" s="801">
        <v>0.8</v>
      </c>
      <c r="N4" s="801">
        <v>0.8</v>
      </c>
    </row>
    <row r="5" spans="1:23" ht="18">
      <c r="A5" s="215"/>
    </row>
    <row r="6" spans="1:23" ht="18.5" thickBot="1">
      <c r="A6" s="215"/>
    </row>
    <row r="7" spans="1:23">
      <c r="A7" s="1047" t="s">
        <v>142</v>
      </c>
      <c r="B7" s="125"/>
      <c r="C7" s="1066" t="s">
        <v>461</v>
      </c>
      <c r="D7" s="1067"/>
      <c r="E7" s="1067"/>
      <c r="F7" s="1067"/>
      <c r="G7" s="1067"/>
      <c r="H7" s="1067"/>
      <c r="I7" s="1067"/>
      <c r="J7" s="1066" t="s">
        <v>462</v>
      </c>
      <c r="K7" s="1067"/>
      <c r="L7" s="1067"/>
      <c r="M7" s="1067"/>
      <c r="N7" s="1067"/>
      <c r="O7" s="1067"/>
      <c r="P7" s="1067"/>
      <c r="Q7" s="1066" t="s">
        <v>463</v>
      </c>
      <c r="R7" s="1067"/>
      <c r="S7" s="1067"/>
      <c r="T7" s="1067"/>
      <c r="U7" s="1067"/>
      <c r="V7" s="1067"/>
      <c r="W7" s="1068"/>
    </row>
    <row r="8" spans="1:23">
      <c r="A8" s="1047"/>
      <c r="B8" s="125" t="s">
        <v>464</v>
      </c>
      <c r="C8" s="940" t="s">
        <v>465</v>
      </c>
      <c r="D8" s="914" t="s">
        <v>466</v>
      </c>
      <c r="E8" s="914" t="s">
        <v>467</v>
      </c>
      <c r="F8" s="914" t="s">
        <v>468</v>
      </c>
      <c r="G8" s="914" t="s">
        <v>469</v>
      </c>
      <c r="H8" s="914" t="s">
        <v>470</v>
      </c>
      <c r="I8" s="914" t="s">
        <v>471</v>
      </c>
      <c r="J8" s="940" t="s">
        <v>465</v>
      </c>
      <c r="K8" s="914" t="s">
        <v>466</v>
      </c>
      <c r="L8" s="914" t="s">
        <v>467</v>
      </c>
      <c r="M8" s="914" t="s">
        <v>468</v>
      </c>
      <c r="N8" s="914" t="s">
        <v>469</v>
      </c>
      <c r="O8" s="914" t="s">
        <v>470</v>
      </c>
      <c r="P8" s="914" t="s">
        <v>471</v>
      </c>
      <c r="Q8" s="940" t="s">
        <v>465</v>
      </c>
      <c r="R8" s="914" t="s">
        <v>466</v>
      </c>
      <c r="S8" s="914" t="s">
        <v>467</v>
      </c>
      <c r="T8" s="914" t="s">
        <v>468</v>
      </c>
      <c r="U8" s="914" t="s">
        <v>469</v>
      </c>
      <c r="V8" s="914" t="s">
        <v>470</v>
      </c>
      <c r="W8" s="941" t="s">
        <v>471</v>
      </c>
    </row>
    <row r="9" spans="1:23" ht="56">
      <c r="A9" s="128"/>
      <c r="B9" s="129" t="s">
        <v>472</v>
      </c>
      <c r="C9" s="942"/>
      <c r="J9" s="942"/>
      <c r="Q9" s="942"/>
      <c r="W9" s="943"/>
    </row>
    <row r="10" spans="1:23">
      <c r="A10" s="956" t="s">
        <v>473</v>
      </c>
      <c r="B10" s="954" t="s">
        <v>474</v>
      </c>
      <c r="C10" s="942"/>
      <c r="J10" s="942"/>
      <c r="Q10" s="942"/>
      <c r="W10" s="943"/>
    </row>
    <row r="11" spans="1:23">
      <c r="A11" s="957" t="s">
        <v>475</v>
      </c>
      <c r="B11" s="955" t="s">
        <v>474</v>
      </c>
      <c r="C11" s="942">
        <v>1</v>
      </c>
      <c r="D11" s="121">
        <v>1</v>
      </c>
      <c r="E11" s="121">
        <v>1</v>
      </c>
      <c r="F11" s="121">
        <v>1</v>
      </c>
      <c r="G11" s="121">
        <v>1</v>
      </c>
      <c r="H11" s="121">
        <v>1</v>
      </c>
      <c r="I11" s="121">
        <v>1</v>
      </c>
      <c r="J11" s="948">
        <v>1800000</v>
      </c>
      <c r="K11" s="938">
        <v>1800000</v>
      </c>
      <c r="L11" s="938">
        <v>1800000</v>
      </c>
      <c r="M11" s="946">
        <v>6000000</v>
      </c>
      <c r="N11" s="946">
        <f t="shared" ref="N11:P12" si="0">M11*1.3</f>
        <v>7800000</v>
      </c>
      <c r="O11" s="946">
        <f t="shared" si="0"/>
        <v>10140000</v>
      </c>
      <c r="P11" s="946">
        <f t="shared" si="0"/>
        <v>13182000</v>
      </c>
      <c r="Q11" s="948">
        <f>J11*C11</f>
        <v>1800000</v>
      </c>
      <c r="R11" s="938">
        <f t="shared" ref="R11:R27" si="1">K11*D11</f>
        <v>1800000</v>
      </c>
      <c r="S11" s="938">
        <f t="shared" ref="S11:S27" si="2">L11*E11</f>
        <v>1800000</v>
      </c>
      <c r="T11" s="938">
        <f>(F11-E11)*M11*K$4+E11*M11</f>
        <v>6000000</v>
      </c>
      <c r="U11" s="938">
        <f>(G11-F11)*N11*L$4+F11*N11</f>
        <v>7800000</v>
      </c>
      <c r="V11" s="938">
        <f>(H11-G11)*O11*M$4+G11*O11</f>
        <v>10140000</v>
      </c>
      <c r="W11" s="949">
        <f>(I11-H11)*P11*N$4+H11*P11</f>
        <v>13182000</v>
      </c>
    </row>
    <row r="12" spans="1:23">
      <c r="A12" s="957" t="s">
        <v>476</v>
      </c>
      <c r="B12" s="955"/>
      <c r="C12" s="942">
        <v>1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21">
        <v>1</v>
      </c>
      <c r="J12" s="948">
        <v>1800000</v>
      </c>
      <c r="K12" s="938">
        <v>1800000</v>
      </c>
      <c r="L12" s="938">
        <v>1800000</v>
      </c>
      <c r="M12" s="946">
        <v>6000000</v>
      </c>
      <c r="N12" s="946">
        <f t="shared" si="0"/>
        <v>7800000</v>
      </c>
      <c r="O12" s="946">
        <f t="shared" si="0"/>
        <v>10140000</v>
      </c>
      <c r="P12" s="946">
        <f t="shared" si="0"/>
        <v>13182000</v>
      </c>
      <c r="Q12" s="948">
        <f t="shared" ref="Q12:Q27" si="3">J12*C12</f>
        <v>1800000</v>
      </c>
      <c r="R12" s="938">
        <f t="shared" si="1"/>
        <v>1800000</v>
      </c>
      <c r="S12" s="938">
        <f t="shared" si="2"/>
        <v>1800000</v>
      </c>
      <c r="T12" s="938">
        <f>(F12-E12)*M12*K$4+E12*M12</f>
        <v>6000000</v>
      </c>
      <c r="U12" s="938">
        <f>(G12-F12)*N12*L$4+F12*N12</f>
        <v>7800000</v>
      </c>
      <c r="V12" s="938">
        <f>(H12-G12)*O12*M$4+G12*O12</f>
        <v>10140000</v>
      </c>
      <c r="W12" s="949">
        <f t="shared" ref="W12:W27" si="4">(I12-H12)*P12*N$4+H12*P12</f>
        <v>13182000</v>
      </c>
    </row>
    <row r="13" spans="1:23">
      <c r="A13" s="957"/>
      <c r="B13" s="955"/>
      <c r="C13" s="942"/>
      <c r="J13" s="948"/>
      <c r="K13" s="938"/>
      <c r="L13" s="938"/>
      <c r="M13" s="938"/>
      <c r="N13" s="938"/>
      <c r="O13" s="938"/>
      <c r="P13" s="938"/>
      <c r="Q13" s="948">
        <f t="shared" si="3"/>
        <v>0</v>
      </c>
      <c r="R13" s="938">
        <f t="shared" si="1"/>
        <v>0</v>
      </c>
      <c r="S13" s="938">
        <f t="shared" si="2"/>
        <v>0</v>
      </c>
      <c r="T13" s="938">
        <f t="shared" ref="T13:T47" si="5">(F13-E13)*M13*K$4+E13*M13</f>
        <v>0</v>
      </c>
      <c r="U13" s="938">
        <f t="shared" ref="U13:U27" si="6">(G13-F13)*N13*L$4+F13*N13</f>
        <v>0</v>
      </c>
      <c r="V13" s="938">
        <f t="shared" ref="V13:V27" si="7">(H13-G13)*O13*M$4+G13*O13</f>
        <v>0</v>
      </c>
      <c r="W13" s="949">
        <f t="shared" si="4"/>
        <v>0</v>
      </c>
    </row>
    <row r="14" spans="1:23">
      <c r="A14" s="956" t="s">
        <v>477</v>
      </c>
      <c r="B14" s="954"/>
      <c r="C14" s="942"/>
      <c r="J14" s="948">
        <v>0</v>
      </c>
      <c r="K14" s="938">
        <v>0</v>
      </c>
      <c r="L14" s="938">
        <v>0</v>
      </c>
      <c r="M14" s="938">
        <v>0</v>
      </c>
      <c r="N14" s="938">
        <v>0</v>
      </c>
      <c r="O14" s="938">
        <v>0</v>
      </c>
      <c r="P14" s="938">
        <v>0</v>
      </c>
      <c r="Q14" s="948">
        <f t="shared" si="3"/>
        <v>0</v>
      </c>
      <c r="R14" s="938">
        <f t="shared" si="1"/>
        <v>0</v>
      </c>
      <c r="S14" s="938">
        <f t="shared" si="2"/>
        <v>0</v>
      </c>
      <c r="T14" s="938">
        <f t="shared" si="5"/>
        <v>0</v>
      </c>
      <c r="U14" s="938">
        <f t="shared" si="6"/>
        <v>0</v>
      </c>
      <c r="V14" s="938">
        <f t="shared" si="7"/>
        <v>0</v>
      </c>
      <c r="W14" s="949">
        <f t="shared" si="4"/>
        <v>0</v>
      </c>
    </row>
    <row r="15" spans="1:23">
      <c r="A15" s="957" t="s">
        <v>478</v>
      </c>
      <c r="B15" s="955" t="s">
        <v>474</v>
      </c>
      <c r="C15" s="942">
        <v>1</v>
      </c>
      <c r="D15" s="121">
        <v>1</v>
      </c>
      <c r="E15" s="121">
        <v>2</v>
      </c>
      <c r="F15" s="121">
        <v>2</v>
      </c>
      <c r="G15" s="121">
        <v>2</v>
      </c>
      <c r="H15" s="121">
        <v>2</v>
      </c>
      <c r="I15" s="121">
        <v>2</v>
      </c>
      <c r="J15" s="948">
        <v>480000</v>
      </c>
      <c r="K15" s="938">
        <v>600000</v>
      </c>
      <c r="L15" s="938">
        <v>720000</v>
      </c>
      <c r="M15" s="938">
        <f t="shared" ref="M15:P16" si="8">L15*1.2</f>
        <v>864000</v>
      </c>
      <c r="N15" s="938">
        <f t="shared" si="8"/>
        <v>1036800</v>
      </c>
      <c r="O15" s="938">
        <f t="shared" si="8"/>
        <v>1244160</v>
      </c>
      <c r="P15" s="938">
        <f t="shared" si="8"/>
        <v>1492992</v>
      </c>
      <c r="Q15" s="948">
        <f t="shared" si="3"/>
        <v>480000</v>
      </c>
      <c r="R15" s="938">
        <f t="shared" si="1"/>
        <v>600000</v>
      </c>
      <c r="S15" s="938">
        <f t="shared" si="2"/>
        <v>1440000</v>
      </c>
      <c r="T15" s="938">
        <f t="shared" si="5"/>
        <v>1728000</v>
      </c>
      <c r="U15" s="938">
        <f t="shared" si="6"/>
        <v>2073600</v>
      </c>
      <c r="V15" s="938">
        <f t="shared" si="7"/>
        <v>2488320</v>
      </c>
      <c r="W15" s="949">
        <f t="shared" si="4"/>
        <v>2985984</v>
      </c>
    </row>
    <row r="16" spans="1:23">
      <c r="A16" s="957" t="s">
        <v>479</v>
      </c>
      <c r="B16" s="955" t="s">
        <v>474</v>
      </c>
      <c r="C16" s="942">
        <v>1</v>
      </c>
      <c r="D16" s="121">
        <v>1</v>
      </c>
      <c r="E16" s="121">
        <v>2</v>
      </c>
      <c r="F16" s="121">
        <v>3</v>
      </c>
      <c r="G16" s="121">
        <v>4</v>
      </c>
      <c r="H16" s="121">
        <v>4</v>
      </c>
      <c r="I16" s="121">
        <v>4</v>
      </c>
      <c r="J16" s="948">
        <v>255600</v>
      </c>
      <c r="K16" s="938">
        <v>255600</v>
      </c>
      <c r="L16" s="938">
        <v>420000</v>
      </c>
      <c r="M16" s="938">
        <f t="shared" si="8"/>
        <v>504000</v>
      </c>
      <c r="N16" s="938">
        <f t="shared" si="8"/>
        <v>604800</v>
      </c>
      <c r="O16" s="938">
        <f t="shared" si="8"/>
        <v>725760</v>
      </c>
      <c r="P16" s="938">
        <f t="shared" si="8"/>
        <v>870912</v>
      </c>
      <c r="Q16" s="948">
        <f t="shared" si="3"/>
        <v>255600</v>
      </c>
      <c r="R16" s="938">
        <f t="shared" si="1"/>
        <v>255600</v>
      </c>
      <c r="S16" s="938">
        <f t="shared" si="2"/>
        <v>840000</v>
      </c>
      <c r="T16" s="938">
        <f t="shared" si="5"/>
        <v>1411200</v>
      </c>
      <c r="U16" s="938">
        <f t="shared" si="6"/>
        <v>2298240</v>
      </c>
      <c r="V16" s="938">
        <f t="shared" si="7"/>
        <v>2903040</v>
      </c>
      <c r="W16" s="949">
        <f t="shared" si="4"/>
        <v>3483648</v>
      </c>
    </row>
    <row r="17" spans="1:23">
      <c r="A17" s="957"/>
      <c r="B17" s="955"/>
      <c r="C17" s="942"/>
      <c r="J17" s="948"/>
      <c r="K17" s="938"/>
      <c r="L17" s="947"/>
      <c r="M17" s="938"/>
      <c r="N17" s="938"/>
      <c r="O17" s="938"/>
      <c r="P17" s="938"/>
      <c r="Q17" s="948">
        <f t="shared" si="3"/>
        <v>0</v>
      </c>
      <c r="R17" s="938">
        <f t="shared" si="1"/>
        <v>0</v>
      </c>
      <c r="S17" s="938">
        <f t="shared" si="2"/>
        <v>0</v>
      </c>
      <c r="T17" s="938">
        <f t="shared" si="5"/>
        <v>0</v>
      </c>
      <c r="U17" s="938">
        <f t="shared" si="6"/>
        <v>0</v>
      </c>
      <c r="V17" s="938">
        <f t="shared" si="7"/>
        <v>0</v>
      </c>
      <c r="W17" s="949">
        <f t="shared" si="4"/>
        <v>0</v>
      </c>
    </row>
    <row r="18" spans="1:23">
      <c r="A18" s="956" t="s">
        <v>480</v>
      </c>
      <c r="B18" s="954"/>
      <c r="C18" s="942"/>
      <c r="J18" s="948">
        <v>0</v>
      </c>
      <c r="K18" s="938">
        <v>0</v>
      </c>
      <c r="L18" s="947"/>
      <c r="M18" s="938">
        <v>0</v>
      </c>
      <c r="N18" s="938">
        <v>0</v>
      </c>
      <c r="O18" s="938">
        <v>0</v>
      </c>
      <c r="P18" s="938">
        <v>0</v>
      </c>
      <c r="Q18" s="948">
        <f t="shared" si="3"/>
        <v>0</v>
      </c>
      <c r="R18" s="938">
        <f t="shared" si="1"/>
        <v>0</v>
      </c>
      <c r="S18" s="938">
        <f t="shared" si="2"/>
        <v>0</v>
      </c>
      <c r="T18" s="938">
        <f t="shared" si="5"/>
        <v>0</v>
      </c>
      <c r="U18" s="938">
        <f t="shared" si="6"/>
        <v>0</v>
      </c>
      <c r="V18" s="938">
        <f t="shared" si="7"/>
        <v>0</v>
      </c>
      <c r="W18" s="949">
        <f t="shared" si="4"/>
        <v>0</v>
      </c>
    </row>
    <row r="19" spans="1:23">
      <c r="A19" s="957" t="s">
        <v>478</v>
      </c>
      <c r="B19" s="121" t="s">
        <v>474</v>
      </c>
      <c r="C19" s="942">
        <v>2</v>
      </c>
      <c r="D19" s="121">
        <v>2</v>
      </c>
      <c r="E19" s="121">
        <v>3</v>
      </c>
      <c r="F19" s="121">
        <v>3</v>
      </c>
      <c r="G19" s="121">
        <v>3</v>
      </c>
      <c r="H19" s="121">
        <v>3</v>
      </c>
      <c r="I19" s="121">
        <v>3</v>
      </c>
      <c r="J19" s="948">
        <v>183600</v>
      </c>
      <c r="K19" s="938">
        <v>300000</v>
      </c>
      <c r="L19" s="938">
        <v>420000</v>
      </c>
      <c r="M19" s="938">
        <f t="shared" ref="M19:P20" si="9">L19*1.2</f>
        <v>504000</v>
      </c>
      <c r="N19" s="938">
        <f t="shared" si="9"/>
        <v>604800</v>
      </c>
      <c r="O19" s="938">
        <f t="shared" si="9"/>
        <v>725760</v>
      </c>
      <c r="P19" s="938">
        <f t="shared" si="9"/>
        <v>870912</v>
      </c>
      <c r="Q19" s="948">
        <f t="shared" si="3"/>
        <v>367200</v>
      </c>
      <c r="R19" s="938">
        <f t="shared" si="1"/>
        <v>600000</v>
      </c>
      <c r="S19" s="938">
        <f t="shared" si="2"/>
        <v>1260000</v>
      </c>
      <c r="T19" s="938">
        <f>(F19-E19)*M19*K$4+E19*M19</f>
        <v>1512000</v>
      </c>
      <c r="U19" s="938">
        <f t="shared" si="6"/>
        <v>1814400</v>
      </c>
      <c r="V19" s="938">
        <f t="shared" si="7"/>
        <v>2177280</v>
      </c>
      <c r="W19" s="949">
        <f t="shared" si="4"/>
        <v>2612736</v>
      </c>
    </row>
    <row r="20" spans="1:23">
      <c r="A20" s="957" t="s">
        <v>479</v>
      </c>
      <c r="B20" s="121" t="s">
        <v>474</v>
      </c>
      <c r="C20" s="942">
        <v>2</v>
      </c>
      <c r="D20" s="121">
        <v>2</v>
      </c>
      <c r="E20" s="121">
        <v>3</v>
      </c>
      <c r="F20" s="121">
        <v>4</v>
      </c>
      <c r="G20" s="121">
        <v>5</v>
      </c>
      <c r="H20" s="121">
        <v>6</v>
      </c>
      <c r="I20" s="121">
        <v>7</v>
      </c>
      <c r="J20" s="948">
        <v>183600</v>
      </c>
      <c r="K20" s="938">
        <v>183600</v>
      </c>
      <c r="L20" s="938">
        <v>300000</v>
      </c>
      <c r="M20" s="938">
        <f t="shared" si="9"/>
        <v>360000</v>
      </c>
      <c r="N20" s="938">
        <f t="shared" si="9"/>
        <v>432000</v>
      </c>
      <c r="O20" s="938">
        <f t="shared" si="9"/>
        <v>518400</v>
      </c>
      <c r="P20" s="938">
        <f t="shared" si="9"/>
        <v>622080</v>
      </c>
      <c r="Q20" s="948">
        <f t="shared" si="3"/>
        <v>367200</v>
      </c>
      <c r="R20" s="938">
        <f t="shared" si="1"/>
        <v>367200</v>
      </c>
      <c r="S20" s="938">
        <f t="shared" si="2"/>
        <v>900000</v>
      </c>
      <c r="T20" s="938">
        <f t="shared" si="5"/>
        <v>1368000</v>
      </c>
      <c r="U20" s="938">
        <f t="shared" si="6"/>
        <v>2073600</v>
      </c>
      <c r="V20" s="938">
        <f t="shared" si="7"/>
        <v>3006720</v>
      </c>
      <c r="W20" s="949">
        <f t="shared" si="4"/>
        <v>4230144</v>
      </c>
    </row>
    <row r="21" spans="1:23">
      <c r="A21" s="957"/>
      <c r="C21" s="942"/>
      <c r="J21" s="948"/>
      <c r="K21" s="938">
        <v>0</v>
      </c>
      <c r="L21" s="938">
        <v>0</v>
      </c>
      <c r="M21" s="938">
        <v>0</v>
      </c>
      <c r="N21" s="938">
        <v>0</v>
      </c>
      <c r="O21" s="938">
        <v>0</v>
      </c>
      <c r="P21" s="938">
        <v>0</v>
      </c>
      <c r="Q21" s="948">
        <f t="shared" si="3"/>
        <v>0</v>
      </c>
      <c r="R21" s="938">
        <f t="shared" si="1"/>
        <v>0</v>
      </c>
      <c r="S21" s="938">
        <f t="shared" si="2"/>
        <v>0</v>
      </c>
      <c r="T21" s="938">
        <f t="shared" si="5"/>
        <v>0</v>
      </c>
      <c r="U21" s="938">
        <f t="shared" si="6"/>
        <v>0</v>
      </c>
      <c r="V21" s="938">
        <f t="shared" si="7"/>
        <v>0</v>
      </c>
      <c r="W21" s="949">
        <f t="shared" si="4"/>
        <v>0</v>
      </c>
    </row>
    <row r="22" spans="1:23">
      <c r="A22" s="649"/>
      <c r="C22" s="942"/>
      <c r="J22" s="948"/>
      <c r="K22" s="938"/>
      <c r="L22" s="938"/>
      <c r="M22" s="938"/>
      <c r="N22" s="938"/>
      <c r="O22" s="938"/>
      <c r="P22" s="938"/>
      <c r="Q22" s="948">
        <f t="shared" si="3"/>
        <v>0</v>
      </c>
      <c r="R22" s="938">
        <f t="shared" si="1"/>
        <v>0</v>
      </c>
      <c r="S22" s="938">
        <f t="shared" si="2"/>
        <v>0</v>
      </c>
      <c r="T22" s="938">
        <f t="shared" si="5"/>
        <v>0</v>
      </c>
      <c r="U22" s="938">
        <f t="shared" si="6"/>
        <v>0</v>
      </c>
      <c r="V22" s="938">
        <f t="shared" si="7"/>
        <v>0</v>
      </c>
      <c r="W22" s="949">
        <f t="shared" si="4"/>
        <v>0</v>
      </c>
    </row>
    <row r="23" spans="1:23">
      <c r="A23" s="956" t="s">
        <v>481</v>
      </c>
      <c r="C23" s="942"/>
      <c r="J23" s="948">
        <v>0</v>
      </c>
      <c r="K23" s="938">
        <v>0</v>
      </c>
      <c r="L23" s="938">
        <v>0</v>
      </c>
      <c r="M23" s="938">
        <v>0</v>
      </c>
      <c r="N23" s="938">
        <v>0</v>
      </c>
      <c r="O23" s="938">
        <v>0</v>
      </c>
      <c r="P23" s="938">
        <v>0</v>
      </c>
      <c r="Q23" s="948">
        <f t="shared" si="3"/>
        <v>0</v>
      </c>
      <c r="R23" s="938">
        <f t="shared" si="1"/>
        <v>0</v>
      </c>
      <c r="S23" s="938">
        <f t="shared" si="2"/>
        <v>0</v>
      </c>
      <c r="T23" s="938">
        <f t="shared" si="5"/>
        <v>0</v>
      </c>
      <c r="U23" s="938">
        <f t="shared" si="6"/>
        <v>0</v>
      </c>
      <c r="V23" s="938">
        <f t="shared" si="7"/>
        <v>0</v>
      </c>
      <c r="W23" s="949">
        <f t="shared" si="4"/>
        <v>0</v>
      </c>
    </row>
    <row r="24" spans="1:23">
      <c r="A24" s="957" t="s">
        <v>478</v>
      </c>
      <c r="B24" s="955" t="s">
        <v>474</v>
      </c>
      <c r="C24" s="942">
        <v>6</v>
      </c>
      <c r="D24" s="121">
        <v>6</v>
      </c>
      <c r="E24" s="121">
        <v>8</v>
      </c>
      <c r="F24" s="121">
        <v>8</v>
      </c>
      <c r="G24" s="121">
        <v>5</v>
      </c>
      <c r="H24" s="121">
        <v>5</v>
      </c>
      <c r="I24" s="121">
        <v>5</v>
      </c>
      <c r="J24" s="948">
        <v>302400</v>
      </c>
      <c r="K24" s="938">
        <v>336000</v>
      </c>
      <c r="L24" s="938">
        <v>480000</v>
      </c>
      <c r="M24" s="938">
        <f>L24*1.2</f>
        <v>576000</v>
      </c>
      <c r="N24" s="938">
        <f>M24*1.2</f>
        <v>691200</v>
      </c>
      <c r="O24" s="938">
        <f>N24*1.2</f>
        <v>829440</v>
      </c>
      <c r="P24" s="938">
        <f>O24*1.2</f>
        <v>995328</v>
      </c>
      <c r="Q24" s="948">
        <f t="shared" si="3"/>
        <v>1814400</v>
      </c>
      <c r="R24" s="938">
        <f t="shared" si="1"/>
        <v>2016000</v>
      </c>
      <c r="S24" s="938">
        <f t="shared" si="2"/>
        <v>3840000</v>
      </c>
      <c r="T24" s="938">
        <f>(F24-E24)*M24*K$4+E24*M24</f>
        <v>4608000</v>
      </c>
      <c r="U24" s="938">
        <f t="shared" si="6"/>
        <v>3870720</v>
      </c>
      <c r="V24" s="938">
        <f t="shared" si="7"/>
        <v>4147200</v>
      </c>
      <c r="W24" s="949">
        <f t="shared" si="4"/>
        <v>4976640</v>
      </c>
    </row>
    <row r="25" spans="1:23">
      <c r="A25" s="957" t="s">
        <v>482</v>
      </c>
      <c r="B25" s="955" t="s">
        <v>483</v>
      </c>
      <c r="C25" s="942">
        <v>10</v>
      </c>
      <c r="D25" s="121">
        <v>14</v>
      </c>
      <c r="E25" s="121">
        <v>90</v>
      </c>
      <c r="F25" s="121">
        <v>50</v>
      </c>
      <c r="G25" s="939">
        <v>80</v>
      </c>
      <c r="H25" s="939">
        <v>90</v>
      </c>
      <c r="I25" s="939">
        <v>100</v>
      </c>
      <c r="J25" s="948">
        <v>183600</v>
      </c>
      <c r="K25" s="938">
        <v>183600</v>
      </c>
      <c r="L25" s="938">
        <v>255600</v>
      </c>
      <c r="M25" s="938">
        <f>L25*1.2</f>
        <v>306720</v>
      </c>
      <c r="N25" s="946">
        <v>0</v>
      </c>
      <c r="O25" s="946">
        <v>0</v>
      </c>
      <c r="P25" s="946">
        <v>0</v>
      </c>
      <c r="Q25" s="948">
        <f t="shared" si="3"/>
        <v>1836000</v>
      </c>
      <c r="R25" s="938">
        <f t="shared" si="1"/>
        <v>2570400</v>
      </c>
      <c r="S25" s="938">
        <f t="shared" si="2"/>
        <v>23004000</v>
      </c>
      <c r="T25" s="938">
        <f t="shared" si="5"/>
        <v>17789760</v>
      </c>
      <c r="U25" s="938">
        <f t="shared" si="6"/>
        <v>0</v>
      </c>
      <c r="V25" s="938">
        <f t="shared" si="7"/>
        <v>0</v>
      </c>
      <c r="W25" s="949">
        <f t="shared" si="4"/>
        <v>0</v>
      </c>
    </row>
    <row r="26" spans="1:23">
      <c r="A26" s="957" t="s">
        <v>484</v>
      </c>
      <c r="B26" s="955"/>
      <c r="C26" s="942"/>
      <c r="F26" s="121">
        <v>50</v>
      </c>
      <c r="G26" s="939">
        <v>80</v>
      </c>
      <c r="H26" s="939">
        <v>90</v>
      </c>
      <c r="I26" s="939">
        <v>100</v>
      </c>
      <c r="J26" s="948"/>
      <c r="K26" s="938"/>
      <c r="L26" s="938">
        <v>250000</v>
      </c>
      <c r="M26" s="938">
        <f>L26*1.2</f>
        <v>300000</v>
      </c>
      <c r="N26" s="946">
        <v>0</v>
      </c>
      <c r="O26" s="946">
        <v>0</v>
      </c>
      <c r="P26" s="946">
        <v>0</v>
      </c>
      <c r="Q26" s="948">
        <f t="shared" si="3"/>
        <v>0</v>
      </c>
      <c r="R26" s="938">
        <f t="shared" si="1"/>
        <v>0</v>
      </c>
      <c r="S26" s="938">
        <f t="shared" si="2"/>
        <v>0</v>
      </c>
      <c r="T26" s="938">
        <f t="shared" si="5"/>
        <v>12000000</v>
      </c>
      <c r="U26" s="938">
        <f t="shared" si="6"/>
        <v>0</v>
      </c>
      <c r="V26" s="938">
        <f t="shared" si="7"/>
        <v>0</v>
      </c>
      <c r="W26" s="949">
        <f t="shared" si="4"/>
        <v>0</v>
      </c>
    </row>
    <row r="27" spans="1:23">
      <c r="A27" s="957" t="s">
        <v>485</v>
      </c>
      <c r="B27" s="121" t="s">
        <v>474</v>
      </c>
      <c r="C27" s="942">
        <v>12</v>
      </c>
      <c r="D27" s="121">
        <v>8</v>
      </c>
      <c r="E27" s="121">
        <v>8</v>
      </c>
      <c r="F27" s="121">
        <v>12</v>
      </c>
      <c r="G27" s="121">
        <v>25</v>
      </c>
      <c r="H27" s="121">
        <v>35</v>
      </c>
      <c r="I27" s="121">
        <v>50</v>
      </c>
      <c r="J27" s="948">
        <v>183000</v>
      </c>
      <c r="K27" s="938">
        <v>183000</v>
      </c>
      <c r="L27" s="938">
        <v>222000</v>
      </c>
      <c r="M27" s="938">
        <f>L27*1.2</f>
        <v>266400</v>
      </c>
      <c r="N27" s="938">
        <f>M27*1.2</f>
        <v>319680</v>
      </c>
      <c r="O27" s="938">
        <f>N27*1.2</f>
        <v>383616</v>
      </c>
      <c r="P27" s="938">
        <f>O27*1.2</f>
        <v>460339.20000000001</v>
      </c>
      <c r="Q27" s="948">
        <f t="shared" si="3"/>
        <v>2196000</v>
      </c>
      <c r="R27" s="938">
        <f t="shared" si="1"/>
        <v>1464000</v>
      </c>
      <c r="S27" s="938">
        <f t="shared" si="2"/>
        <v>1776000</v>
      </c>
      <c r="T27" s="938">
        <f t="shared" si="5"/>
        <v>2983680</v>
      </c>
      <c r="U27" s="938">
        <f t="shared" si="6"/>
        <v>7160832</v>
      </c>
      <c r="V27" s="938">
        <f t="shared" si="7"/>
        <v>12659328</v>
      </c>
      <c r="W27" s="949">
        <f t="shared" si="4"/>
        <v>21635942.399999999</v>
      </c>
    </row>
    <row r="28" spans="1:23">
      <c r="A28" s="957"/>
      <c r="C28" s="942"/>
      <c r="J28" s="948"/>
      <c r="K28" s="938"/>
      <c r="L28" s="938"/>
      <c r="M28" s="938"/>
      <c r="N28" s="938"/>
      <c r="O28" s="938"/>
      <c r="P28" s="938"/>
      <c r="Q28" s="948"/>
      <c r="R28" s="938"/>
      <c r="S28" s="938"/>
      <c r="T28" s="938"/>
      <c r="U28" s="938"/>
      <c r="V28" s="938"/>
      <c r="W28" s="949"/>
    </row>
    <row r="29" spans="1:23">
      <c r="A29" s="956" t="s">
        <v>486</v>
      </c>
      <c r="B29" s="954"/>
      <c r="C29" s="942"/>
      <c r="J29" s="948">
        <v>0</v>
      </c>
      <c r="K29" s="938">
        <v>0</v>
      </c>
      <c r="L29" s="938">
        <v>0</v>
      </c>
      <c r="M29" s="938">
        <v>0</v>
      </c>
      <c r="N29" s="938">
        <v>0</v>
      </c>
      <c r="O29" s="938">
        <v>0</v>
      </c>
      <c r="P29" s="938">
        <v>0</v>
      </c>
      <c r="Q29" s="948">
        <f t="shared" ref="Q29:S36" si="10">J29*C29</f>
        <v>0</v>
      </c>
      <c r="R29" s="938">
        <f t="shared" si="10"/>
        <v>0</v>
      </c>
      <c r="S29" s="938">
        <f t="shared" si="10"/>
        <v>0</v>
      </c>
      <c r="T29" s="938">
        <f t="shared" si="5"/>
        <v>0</v>
      </c>
      <c r="U29" s="938">
        <f t="shared" ref="U29:U36" si="11">(G29-F29)*N29*L$4+F29*N29</f>
        <v>0</v>
      </c>
      <c r="V29" s="938">
        <f t="shared" ref="V29:V36" si="12">(H29-G29)*O29*M$4+G29*O29</f>
        <v>0</v>
      </c>
      <c r="W29" s="949">
        <f t="shared" ref="W29:W36" si="13">(I29-H29)*P29*N$4+H29*P29</f>
        <v>0</v>
      </c>
    </row>
    <row r="30" spans="1:23">
      <c r="A30" s="957" t="s">
        <v>487</v>
      </c>
      <c r="B30" s="955"/>
      <c r="C30" s="942">
        <v>1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948">
        <v>600000</v>
      </c>
      <c r="K30" s="938">
        <v>720000</v>
      </c>
      <c r="L30" s="938">
        <v>840000</v>
      </c>
      <c r="M30" s="938">
        <f t="shared" ref="M30:P32" si="14">L30*1.2</f>
        <v>1008000</v>
      </c>
      <c r="N30" s="938">
        <f t="shared" si="14"/>
        <v>1209600</v>
      </c>
      <c r="O30" s="938">
        <f t="shared" si="14"/>
        <v>1451520</v>
      </c>
      <c r="P30" s="938">
        <f t="shared" si="14"/>
        <v>1741824</v>
      </c>
      <c r="Q30" s="948">
        <f t="shared" si="10"/>
        <v>600000</v>
      </c>
      <c r="R30" s="938">
        <f t="shared" si="10"/>
        <v>720000</v>
      </c>
      <c r="S30" s="938">
        <f t="shared" si="10"/>
        <v>840000</v>
      </c>
      <c r="T30" s="938">
        <f t="shared" si="5"/>
        <v>1008000</v>
      </c>
      <c r="U30" s="938">
        <f t="shared" si="11"/>
        <v>1209600</v>
      </c>
      <c r="V30" s="938">
        <f t="shared" si="12"/>
        <v>1451520</v>
      </c>
      <c r="W30" s="949">
        <f t="shared" si="13"/>
        <v>1741824</v>
      </c>
    </row>
    <row r="31" spans="1:23">
      <c r="A31" s="957" t="s">
        <v>479</v>
      </c>
      <c r="B31" s="955"/>
      <c r="C31" s="942">
        <v>1</v>
      </c>
      <c r="D31" s="121">
        <v>2</v>
      </c>
      <c r="E31" s="121">
        <v>3</v>
      </c>
      <c r="F31" s="121">
        <v>3</v>
      </c>
      <c r="G31" s="121">
        <v>3</v>
      </c>
      <c r="H31" s="121">
        <v>3</v>
      </c>
      <c r="I31" s="121">
        <v>4</v>
      </c>
      <c r="J31" s="948">
        <v>255600</v>
      </c>
      <c r="K31" s="938">
        <v>420000</v>
      </c>
      <c r="L31" s="938">
        <v>600000</v>
      </c>
      <c r="M31" s="938">
        <f t="shared" si="14"/>
        <v>720000</v>
      </c>
      <c r="N31" s="938">
        <f t="shared" si="14"/>
        <v>864000</v>
      </c>
      <c r="O31" s="938">
        <f t="shared" si="14"/>
        <v>1036800</v>
      </c>
      <c r="P31" s="938">
        <f t="shared" si="14"/>
        <v>1244160</v>
      </c>
      <c r="Q31" s="948">
        <f t="shared" si="10"/>
        <v>255600</v>
      </c>
      <c r="R31" s="938">
        <f t="shared" si="10"/>
        <v>840000</v>
      </c>
      <c r="S31" s="938">
        <f t="shared" si="10"/>
        <v>1800000</v>
      </c>
      <c r="T31" s="938">
        <f t="shared" si="5"/>
        <v>2160000</v>
      </c>
      <c r="U31" s="938">
        <f t="shared" si="11"/>
        <v>2592000</v>
      </c>
      <c r="V31" s="938">
        <f t="shared" si="12"/>
        <v>3110400</v>
      </c>
      <c r="W31" s="949">
        <f t="shared" si="13"/>
        <v>4727808</v>
      </c>
    </row>
    <row r="32" spans="1:23">
      <c r="A32" s="957" t="s">
        <v>488</v>
      </c>
      <c r="B32" s="955"/>
      <c r="C32" s="942">
        <v>7</v>
      </c>
      <c r="D32" s="121">
        <v>8</v>
      </c>
      <c r="E32" s="121">
        <v>10</v>
      </c>
      <c r="F32" s="121">
        <v>10</v>
      </c>
      <c r="G32" s="121">
        <v>12</v>
      </c>
      <c r="H32" s="121">
        <v>15</v>
      </c>
      <c r="I32" s="121">
        <v>17</v>
      </c>
      <c r="J32" s="948">
        <v>183600</v>
      </c>
      <c r="K32" s="938">
        <v>183600</v>
      </c>
      <c r="L32" s="938">
        <v>222000</v>
      </c>
      <c r="M32" s="938">
        <f t="shared" si="14"/>
        <v>266400</v>
      </c>
      <c r="N32" s="938">
        <f t="shared" si="14"/>
        <v>319680</v>
      </c>
      <c r="O32" s="938">
        <f t="shared" si="14"/>
        <v>383616</v>
      </c>
      <c r="P32" s="938">
        <f t="shared" si="14"/>
        <v>460339.20000000001</v>
      </c>
      <c r="Q32" s="948">
        <f t="shared" si="10"/>
        <v>1285200</v>
      </c>
      <c r="R32" s="938">
        <f t="shared" si="10"/>
        <v>1468800</v>
      </c>
      <c r="S32" s="938">
        <f t="shared" si="10"/>
        <v>2220000</v>
      </c>
      <c r="T32" s="938">
        <f t="shared" si="5"/>
        <v>2664000</v>
      </c>
      <c r="U32" s="938">
        <f t="shared" si="11"/>
        <v>3708288</v>
      </c>
      <c r="V32" s="938">
        <f t="shared" si="12"/>
        <v>5524070.4000000004</v>
      </c>
      <c r="W32" s="949">
        <f t="shared" si="13"/>
        <v>7641630.7199999997</v>
      </c>
    </row>
    <row r="33" spans="1:23">
      <c r="A33" s="957"/>
      <c r="B33" s="955"/>
      <c r="C33" s="942"/>
      <c r="J33" s="948"/>
      <c r="K33" s="938"/>
      <c r="L33" s="938"/>
      <c r="M33" s="938"/>
      <c r="N33" s="938"/>
      <c r="O33" s="938"/>
      <c r="P33" s="938"/>
      <c r="Q33" s="948">
        <f t="shared" si="10"/>
        <v>0</v>
      </c>
      <c r="R33" s="938">
        <f t="shared" si="10"/>
        <v>0</v>
      </c>
      <c r="S33" s="938">
        <f t="shared" si="10"/>
        <v>0</v>
      </c>
      <c r="T33" s="938">
        <f t="shared" si="5"/>
        <v>0</v>
      </c>
      <c r="U33" s="938">
        <f t="shared" si="11"/>
        <v>0</v>
      </c>
      <c r="V33" s="938">
        <f t="shared" si="12"/>
        <v>0</v>
      </c>
      <c r="W33" s="949">
        <f t="shared" si="13"/>
        <v>0</v>
      </c>
    </row>
    <row r="34" spans="1:23" ht="28">
      <c r="A34" s="959" t="s">
        <v>489</v>
      </c>
      <c r="B34" s="954"/>
      <c r="C34" s="942"/>
      <c r="J34" s="948">
        <v>0</v>
      </c>
      <c r="K34" s="938">
        <v>0</v>
      </c>
      <c r="L34" s="938">
        <v>0</v>
      </c>
      <c r="M34" s="938">
        <v>0</v>
      </c>
      <c r="N34" s="938">
        <v>0</v>
      </c>
      <c r="O34" s="938">
        <v>0</v>
      </c>
      <c r="P34" s="938">
        <v>0</v>
      </c>
      <c r="Q34" s="948">
        <f t="shared" si="10"/>
        <v>0</v>
      </c>
      <c r="R34" s="938">
        <f t="shared" si="10"/>
        <v>0</v>
      </c>
      <c r="S34" s="938">
        <f t="shared" si="10"/>
        <v>0</v>
      </c>
      <c r="T34" s="938">
        <f t="shared" si="5"/>
        <v>0</v>
      </c>
      <c r="U34" s="938">
        <f t="shared" si="11"/>
        <v>0</v>
      </c>
      <c r="V34" s="938">
        <f t="shared" si="12"/>
        <v>0</v>
      </c>
      <c r="W34" s="949">
        <f t="shared" si="13"/>
        <v>0</v>
      </c>
    </row>
    <row r="35" spans="1:23">
      <c r="A35" s="957" t="s">
        <v>478</v>
      </c>
      <c r="B35" s="955"/>
      <c r="C35" s="942">
        <v>1</v>
      </c>
      <c r="D35" s="121">
        <v>1</v>
      </c>
      <c r="E35" s="121">
        <v>3</v>
      </c>
      <c r="F35" s="121">
        <v>3</v>
      </c>
      <c r="G35" s="121">
        <v>3</v>
      </c>
      <c r="H35" s="121">
        <v>4</v>
      </c>
      <c r="I35" s="121">
        <v>5</v>
      </c>
      <c r="J35" s="948">
        <v>183000</v>
      </c>
      <c r="K35" s="938">
        <v>255600</v>
      </c>
      <c r="L35" s="938">
        <v>420000</v>
      </c>
      <c r="M35" s="938">
        <f t="shared" ref="M35:P36" si="15">L35*1.2</f>
        <v>504000</v>
      </c>
      <c r="N35" s="938">
        <f t="shared" si="15"/>
        <v>604800</v>
      </c>
      <c r="O35" s="938">
        <f t="shared" si="15"/>
        <v>725760</v>
      </c>
      <c r="P35" s="938">
        <f t="shared" si="15"/>
        <v>870912</v>
      </c>
      <c r="Q35" s="948">
        <f t="shared" si="10"/>
        <v>183000</v>
      </c>
      <c r="R35" s="938">
        <f t="shared" si="10"/>
        <v>255600</v>
      </c>
      <c r="S35" s="938">
        <f t="shared" si="10"/>
        <v>1260000</v>
      </c>
      <c r="T35" s="938">
        <f t="shared" si="5"/>
        <v>1512000</v>
      </c>
      <c r="U35" s="938">
        <f t="shared" si="11"/>
        <v>1814400</v>
      </c>
      <c r="V35" s="938">
        <f t="shared" si="12"/>
        <v>2757888</v>
      </c>
      <c r="W35" s="949">
        <f t="shared" si="13"/>
        <v>4180377.6000000001</v>
      </c>
    </row>
    <row r="36" spans="1:23">
      <c r="A36" s="958" t="s">
        <v>488</v>
      </c>
      <c r="B36" s="955"/>
      <c r="C36" s="942">
        <v>2</v>
      </c>
      <c r="D36" s="121">
        <v>2</v>
      </c>
      <c r="E36" s="121">
        <v>5</v>
      </c>
      <c r="F36" s="121">
        <v>5</v>
      </c>
      <c r="G36" s="121">
        <v>10</v>
      </c>
      <c r="H36" s="121">
        <v>25</v>
      </c>
      <c r="I36" s="121">
        <v>50</v>
      </c>
      <c r="J36" s="948">
        <v>183000</v>
      </c>
      <c r="K36" s="938">
        <v>183000</v>
      </c>
      <c r="L36" s="938">
        <v>183000</v>
      </c>
      <c r="M36" s="938">
        <f t="shared" si="15"/>
        <v>219600</v>
      </c>
      <c r="N36" s="938">
        <f t="shared" si="15"/>
        <v>263520</v>
      </c>
      <c r="O36" s="938">
        <f t="shared" si="15"/>
        <v>316224</v>
      </c>
      <c r="P36" s="938">
        <f t="shared" si="15"/>
        <v>379468.79999999999</v>
      </c>
      <c r="Q36" s="948">
        <f t="shared" si="10"/>
        <v>366000</v>
      </c>
      <c r="R36" s="938">
        <f t="shared" si="10"/>
        <v>366000</v>
      </c>
      <c r="S36" s="938">
        <f t="shared" si="10"/>
        <v>915000</v>
      </c>
      <c r="T36" s="938">
        <f t="shared" si="5"/>
        <v>1098000</v>
      </c>
      <c r="U36" s="938">
        <f t="shared" si="11"/>
        <v>2371680</v>
      </c>
      <c r="V36" s="938">
        <f t="shared" si="12"/>
        <v>6956928</v>
      </c>
      <c r="W36" s="949">
        <f t="shared" si="13"/>
        <v>17076096</v>
      </c>
    </row>
    <row r="37" spans="1:23">
      <c r="A37" s="958"/>
      <c r="B37" s="955"/>
      <c r="C37" s="942"/>
      <c r="J37" s="948"/>
      <c r="K37" s="938"/>
      <c r="L37" s="938"/>
      <c r="M37" s="938"/>
      <c r="N37" s="938"/>
      <c r="O37" s="938"/>
      <c r="P37" s="938"/>
      <c r="Q37" s="948"/>
      <c r="R37" s="938"/>
      <c r="S37" s="938"/>
      <c r="T37" s="938"/>
      <c r="U37" s="938"/>
      <c r="V37" s="938"/>
      <c r="W37" s="949"/>
    </row>
    <row r="38" spans="1:23" ht="30" customHeight="1">
      <c r="A38" s="960" t="s">
        <v>490</v>
      </c>
      <c r="B38" s="955"/>
      <c r="C38" s="942"/>
      <c r="J38" s="948"/>
      <c r="K38" s="938"/>
      <c r="L38" s="938"/>
      <c r="M38" s="938"/>
      <c r="N38" s="938"/>
      <c r="O38" s="938"/>
      <c r="P38" s="938"/>
      <c r="Q38" s="948">
        <f t="shared" ref="Q38:S42" si="16">J38*C38</f>
        <v>0</v>
      </c>
      <c r="R38" s="938">
        <f t="shared" si="16"/>
        <v>0</v>
      </c>
      <c r="S38" s="938">
        <f t="shared" si="16"/>
        <v>0</v>
      </c>
      <c r="T38" s="938">
        <f t="shared" si="5"/>
        <v>0</v>
      </c>
      <c r="U38" s="938">
        <f t="shared" ref="U38:U42" si="17">(G38-F38)*N38*L$4+F38*N38</f>
        <v>0</v>
      </c>
      <c r="V38" s="938">
        <f t="shared" ref="V38:V42" si="18">(H38-G38)*O38*M$4+G38*O38</f>
        <v>0</v>
      </c>
      <c r="W38" s="949">
        <f t="shared" ref="W38:W42" si="19">(I38-H38)*P38*N$4+H38*P38</f>
        <v>0</v>
      </c>
    </row>
    <row r="39" spans="1:23">
      <c r="A39" s="957" t="s">
        <v>478</v>
      </c>
      <c r="B39" s="955" t="s">
        <v>474</v>
      </c>
      <c r="C39" s="942">
        <v>2</v>
      </c>
      <c r="D39" s="121">
        <v>3</v>
      </c>
      <c r="E39" s="121">
        <v>4</v>
      </c>
      <c r="F39" s="121">
        <v>5</v>
      </c>
      <c r="G39" s="121">
        <v>6</v>
      </c>
      <c r="H39" s="121">
        <v>7</v>
      </c>
      <c r="I39" s="121">
        <v>10</v>
      </c>
      <c r="J39" s="948">
        <v>255600</v>
      </c>
      <c r="K39" s="938">
        <v>300000</v>
      </c>
      <c r="L39" s="938">
        <v>420000</v>
      </c>
      <c r="M39" s="938">
        <f t="shared" ref="M39:P41" si="20">L39*1.2</f>
        <v>504000</v>
      </c>
      <c r="N39" s="938">
        <f t="shared" si="20"/>
        <v>604800</v>
      </c>
      <c r="O39" s="938">
        <f t="shared" si="20"/>
        <v>725760</v>
      </c>
      <c r="P39" s="938">
        <f t="shared" si="20"/>
        <v>870912</v>
      </c>
      <c r="Q39" s="948">
        <f t="shared" si="16"/>
        <v>511200</v>
      </c>
      <c r="R39" s="938">
        <f t="shared" si="16"/>
        <v>900000</v>
      </c>
      <c r="S39" s="938">
        <f t="shared" si="16"/>
        <v>1680000</v>
      </c>
      <c r="T39" s="938">
        <f t="shared" si="5"/>
        <v>2419200</v>
      </c>
      <c r="U39" s="938">
        <f t="shared" si="17"/>
        <v>3507840</v>
      </c>
      <c r="V39" s="938">
        <f t="shared" si="18"/>
        <v>4935168</v>
      </c>
      <c r="W39" s="949">
        <f t="shared" si="19"/>
        <v>8186572.7999999998</v>
      </c>
    </row>
    <row r="40" spans="1:23">
      <c r="A40" s="957" t="s">
        <v>491</v>
      </c>
      <c r="B40" s="955" t="s">
        <v>474</v>
      </c>
      <c r="C40" s="942">
        <v>2</v>
      </c>
      <c r="D40" s="121">
        <v>2</v>
      </c>
      <c r="E40" s="121">
        <v>2</v>
      </c>
      <c r="F40" s="121">
        <v>3</v>
      </c>
      <c r="G40" s="121">
        <v>5</v>
      </c>
      <c r="H40" s="121">
        <v>7</v>
      </c>
      <c r="I40" s="121">
        <v>10</v>
      </c>
      <c r="J40" s="948">
        <v>183000</v>
      </c>
      <c r="K40" s="938">
        <v>222000</v>
      </c>
      <c r="L40" s="938">
        <v>282000</v>
      </c>
      <c r="M40" s="938">
        <f t="shared" si="20"/>
        <v>338400</v>
      </c>
      <c r="N40" s="938">
        <f t="shared" si="20"/>
        <v>406080</v>
      </c>
      <c r="O40" s="938">
        <f t="shared" si="20"/>
        <v>487296</v>
      </c>
      <c r="P40" s="938">
        <f t="shared" si="20"/>
        <v>584755.19999999995</v>
      </c>
      <c r="Q40" s="948">
        <f t="shared" si="16"/>
        <v>366000</v>
      </c>
      <c r="R40" s="938">
        <f t="shared" si="16"/>
        <v>444000</v>
      </c>
      <c r="S40" s="938">
        <f t="shared" si="16"/>
        <v>564000</v>
      </c>
      <c r="T40" s="938">
        <f t="shared" si="5"/>
        <v>947520</v>
      </c>
      <c r="U40" s="938">
        <f t="shared" si="17"/>
        <v>1867968</v>
      </c>
      <c r="V40" s="938">
        <f t="shared" si="18"/>
        <v>3216153.6</v>
      </c>
      <c r="W40" s="949">
        <f t="shared" si="19"/>
        <v>5496698.879999999</v>
      </c>
    </row>
    <row r="41" spans="1:23">
      <c r="A41" s="957" t="s">
        <v>488</v>
      </c>
      <c r="B41" s="955" t="s">
        <v>474</v>
      </c>
      <c r="C41" s="942">
        <v>5</v>
      </c>
      <c r="D41" s="121">
        <v>5</v>
      </c>
      <c r="E41" s="121">
        <v>8</v>
      </c>
      <c r="F41" s="121">
        <v>10</v>
      </c>
      <c r="G41" s="121">
        <v>15</v>
      </c>
      <c r="H41" s="121">
        <v>18</v>
      </c>
      <c r="I41" s="121">
        <v>20</v>
      </c>
      <c r="J41" s="948">
        <v>183000</v>
      </c>
      <c r="K41" s="938">
        <v>222000</v>
      </c>
      <c r="L41" s="938">
        <v>282000</v>
      </c>
      <c r="M41" s="938">
        <f t="shared" si="20"/>
        <v>338400</v>
      </c>
      <c r="N41" s="938">
        <f t="shared" si="20"/>
        <v>406080</v>
      </c>
      <c r="O41" s="938">
        <f t="shared" si="20"/>
        <v>487296</v>
      </c>
      <c r="P41" s="938">
        <f t="shared" si="20"/>
        <v>584755.19999999995</v>
      </c>
      <c r="Q41" s="948">
        <f t="shared" si="16"/>
        <v>915000</v>
      </c>
      <c r="R41" s="938">
        <f t="shared" si="16"/>
        <v>1110000</v>
      </c>
      <c r="S41" s="938">
        <f t="shared" si="16"/>
        <v>2256000</v>
      </c>
      <c r="T41" s="938">
        <f t="shared" si="5"/>
        <v>3248640</v>
      </c>
      <c r="U41" s="938">
        <f t="shared" si="17"/>
        <v>5685120</v>
      </c>
      <c r="V41" s="938">
        <f t="shared" si="18"/>
        <v>8478950.4000000004</v>
      </c>
      <c r="W41" s="949">
        <f t="shared" si="19"/>
        <v>11461201.92</v>
      </c>
    </row>
    <row r="42" spans="1:23">
      <c r="A42" s="958"/>
      <c r="B42" s="955"/>
      <c r="C42" s="942"/>
      <c r="J42" s="948">
        <v>0</v>
      </c>
      <c r="K42" s="938">
        <v>0</v>
      </c>
      <c r="L42" s="938">
        <v>0</v>
      </c>
      <c r="M42" s="938">
        <v>0</v>
      </c>
      <c r="N42" s="938">
        <v>0</v>
      </c>
      <c r="O42" s="938">
        <v>0</v>
      </c>
      <c r="P42" s="938">
        <v>0</v>
      </c>
      <c r="Q42" s="948">
        <f t="shared" si="16"/>
        <v>0</v>
      </c>
      <c r="R42" s="938">
        <f t="shared" si="16"/>
        <v>0</v>
      </c>
      <c r="S42" s="938">
        <f t="shared" si="16"/>
        <v>0</v>
      </c>
      <c r="T42" s="938">
        <f t="shared" si="5"/>
        <v>0</v>
      </c>
      <c r="U42" s="938">
        <f t="shared" si="17"/>
        <v>0</v>
      </c>
      <c r="V42" s="938">
        <f t="shared" si="18"/>
        <v>0</v>
      </c>
      <c r="W42" s="949">
        <f t="shared" si="19"/>
        <v>0</v>
      </c>
    </row>
    <row r="43" spans="1:23">
      <c r="A43" s="956" t="s">
        <v>492</v>
      </c>
      <c r="B43" s="955"/>
      <c r="C43" s="942"/>
      <c r="J43" s="948"/>
      <c r="K43" s="938"/>
      <c r="L43" s="938"/>
      <c r="M43" s="938"/>
      <c r="N43" s="938"/>
      <c r="O43" s="938"/>
      <c r="P43" s="938"/>
      <c r="Q43" s="948"/>
      <c r="R43" s="938"/>
      <c r="S43" s="938"/>
      <c r="T43" s="938"/>
      <c r="U43" s="938"/>
      <c r="V43" s="938"/>
      <c r="W43" s="949"/>
    </row>
    <row r="44" spans="1:23">
      <c r="A44" s="958" t="s">
        <v>493</v>
      </c>
      <c r="B44" s="955"/>
      <c r="C44" s="942"/>
      <c r="G44" s="121">
        <v>1</v>
      </c>
      <c r="H44" s="121">
        <v>1</v>
      </c>
      <c r="I44" s="121">
        <v>1</v>
      </c>
      <c r="J44" s="948"/>
      <c r="K44" s="938"/>
      <c r="L44" s="938"/>
      <c r="M44" s="938"/>
      <c r="N44" s="938">
        <v>3000000</v>
      </c>
      <c r="O44" s="938">
        <f t="shared" ref="O44:P47" si="21">N44*1.2</f>
        <v>3600000</v>
      </c>
      <c r="P44" s="938">
        <f t="shared" si="21"/>
        <v>4320000</v>
      </c>
      <c r="Q44" s="948">
        <f t="shared" ref="Q44:S47" si="22">J44*C44</f>
        <v>0</v>
      </c>
      <c r="R44" s="938">
        <f t="shared" si="22"/>
        <v>0</v>
      </c>
      <c r="S44" s="938">
        <f t="shared" si="22"/>
        <v>0</v>
      </c>
      <c r="T44" s="938">
        <f t="shared" si="5"/>
        <v>0</v>
      </c>
      <c r="U44" s="938">
        <f t="shared" ref="U44:U47" si="23">(G44-F44)*N44*L$4+F44*N44</f>
        <v>2400000</v>
      </c>
      <c r="V44" s="938">
        <f t="shared" ref="V44:V47" si="24">(H44-G44)*O44*M$4+G44*O44</f>
        <v>3600000</v>
      </c>
      <c r="W44" s="949">
        <f t="shared" ref="W44:W47" si="25">(I44-H44)*P44*N$4+H44*P44</f>
        <v>4320000</v>
      </c>
    </row>
    <row r="45" spans="1:23">
      <c r="A45" s="958" t="s">
        <v>302</v>
      </c>
      <c r="B45" s="955"/>
      <c r="C45" s="942"/>
      <c r="G45" s="121">
        <v>1</v>
      </c>
      <c r="H45" s="121">
        <v>1</v>
      </c>
      <c r="I45" s="121">
        <v>1</v>
      </c>
      <c r="J45" s="948"/>
      <c r="K45" s="938"/>
      <c r="L45" s="938"/>
      <c r="M45" s="938"/>
      <c r="N45" s="938">
        <v>3000000</v>
      </c>
      <c r="O45" s="938">
        <f t="shared" si="21"/>
        <v>3600000</v>
      </c>
      <c r="P45" s="938">
        <f t="shared" si="21"/>
        <v>4320000</v>
      </c>
      <c r="Q45" s="948">
        <f t="shared" si="22"/>
        <v>0</v>
      </c>
      <c r="R45" s="938">
        <f t="shared" si="22"/>
        <v>0</v>
      </c>
      <c r="S45" s="938">
        <f t="shared" si="22"/>
        <v>0</v>
      </c>
      <c r="T45" s="938">
        <f t="shared" si="5"/>
        <v>0</v>
      </c>
      <c r="U45" s="938">
        <f t="shared" si="23"/>
        <v>2400000</v>
      </c>
      <c r="V45" s="938">
        <f t="shared" si="24"/>
        <v>3600000</v>
      </c>
      <c r="W45" s="949">
        <f t="shared" si="25"/>
        <v>4320000</v>
      </c>
    </row>
    <row r="46" spans="1:23">
      <c r="A46" s="958" t="s">
        <v>305</v>
      </c>
      <c r="B46" s="955"/>
      <c r="C46" s="942"/>
      <c r="G46" s="121">
        <v>1</v>
      </c>
      <c r="H46" s="121">
        <v>1</v>
      </c>
      <c r="I46" s="121">
        <v>1</v>
      </c>
      <c r="J46" s="948"/>
      <c r="K46" s="938"/>
      <c r="L46" s="938"/>
      <c r="M46" s="938"/>
      <c r="N46" s="938">
        <v>3000000</v>
      </c>
      <c r="O46" s="938">
        <f t="shared" si="21"/>
        <v>3600000</v>
      </c>
      <c r="P46" s="938">
        <f t="shared" si="21"/>
        <v>4320000</v>
      </c>
      <c r="Q46" s="948">
        <f t="shared" si="22"/>
        <v>0</v>
      </c>
      <c r="R46" s="938">
        <f t="shared" si="22"/>
        <v>0</v>
      </c>
      <c r="S46" s="938">
        <f t="shared" si="22"/>
        <v>0</v>
      </c>
      <c r="T46" s="938">
        <f t="shared" si="5"/>
        <v>0</v>
      </c>
      <c r="U46" s="938">
        <f t="shared" si="23"/>
        <v>2400000</v>
      </c>
      <c r="V46" s="938">
        <f t="shared" si="24"/>
        <v>3600000</v>
      </c>
      <c r="W46" s="949">
        <f t="shared" si="25"/>
        <v>4320000</v>
      </c>
    </row>
    <row r="47" spans="1:23">
      <c r="A47" s="958" t="s">
        <v>494</v>
      </c>
      <c r="B47" s="955"/>
      <c r="C47" s="942"/>
      <c r="G47" s="121">
        <v>1</v>
      </c>
      <c r="H47" s="121">
        <v>1</v>
      </c>
      <c r="I47" s="121">
        <v>1</v>
      </c>
      <c r="J47" s="948"/>
      <c r="K47" s="938"/>
      <c r="L47" s="938"/>
      <c r="M47" s="938"/>
      <c r="N47" s="938">
        <v>3000000</v>
      </c>
      <c r="O47" s="938">
        <f t="shared" si="21"/>
        <v>3600000</v>
      </c>
      <c r="P47" s="938">
        <f t="shared" si="21"/>
        <v>4320000</v>
      </c>
      <c r="Q47" s="948">
        <f t="shared" si="22"/>
        <v>0</v>
      </c>
      <c r="R47" s="938">
        <f t="shared" si="22"/>
        <v>0</v>
      </c>
      <c r="S47" s="938">
        <f t="shared" si="22"/>
        <v>0</v>
      </c>
      <c r="T47" s="938">
        <f t="shared" si="5"/>
        <v>0</v>
      </c>
      <c r="U47" s="938">
        <f t="shared" si="23"/>
        <v>2400000</v>
      </c>
      <c r="V47" s="938">
        <f t="shared" si="24"/>
        <v>3600000</v>
      </c>
      <c r="W47" s="949">
        <f t="shared" si="25"/>
        <v>4320000</v>
      </c>
    </row>
    <row r="48" spans="1:23" ht="14.5" thickBot="1">
      <c r="A48" s="132"/>
      <c r="C48" s="944"/>
      <c r="D48" s="945"/>
      <c r="E48" s="945"/>
      <c r="F48" s="945"/>
      <c r="G48" s="945"/>
      <c r="H48" s="945"/>
      <c r="I48" s="945"/>
      <c r="J48" s="950"/>
      <c r="K48" s="951"/>
      <c r="L48" s="951"/>
      <c r="M48" s="951"/>
      <c r="N48" s="951"/>
      <c r="O48" s="951"/>
      <c r="P48" s="951"/>
      <c r="Q48" s="950"/>
      <c r="R48" s="951"/>
      <c r="S48" s="951"/>
      <c r="T48" s="951"/>
      <c r="U48" s="951"/>
      <c r="V48" s="951"/>
      <c r="W48" s="952"/>
    </row>
    <row r="49" spans="1:23">
      <c r="A49" s="132" t="s">
        <v>509</v>
      </c>
      <c r="C49" s="121">
        <f t="shared" ref="C49:I49" si="26">SUM(C11:C48)</f>
        <v>57</v>
      </c>
      <c r="D49" s="121">
        <f t="shared" si="26"/>
        <v>60</v>
      </c>
      <c r="E49" s="121">
        <f t="shared" si="26"/>
        <v>154</v>
      </c>
      <c r="F49" s="121">
        <f t="shared" si="26"/>
        <v>174</v>
      </c>
      <c r="G49" s="121">
        <f>SUM(G11:G48)</f>
        <v>265</v>
      </c>
      <c r="H49" s="121">
        <f t="shared" si="26"/>
        <v>321</v>
      </c>
      <c r="I49" s="121">
        <f t="shared" si="26"/>
        <v>394</v>
      </c>
      <c r="J49" s="938"/>
      <c r="K49" s="938"/>
      <c r="L49" s="938"/>
      <c r="M49" s="938"/>
      <c r="N49" s="938"/>
      <c r="O49" s="938"/>
      <c r="P49" s="938"/>
      <c r="Q49" s="938">
        <f t="shared" ref="Q49:W49" si="27">SUM(Q11:Q48)</f>
        <v>15398400</v>
      </c>
      <c r="R49" s="938">
        <f t="shared" si="27"/>
        <v>17577600</v>
      </c>
      <c r="S49" s="938">
        <f t="shared" si="27"/>
        <v>48195000</v>
      </c>
      <c r="T49" s="938">
        <f t="shared" si="27"/>
        <v>70458000</v>
      </c>
      <c r="U49" s="938">
        <f t="shared" si="27"/>
        <v>67248288</v>
      </c>
      <c r="V49" s="938">
        <f t="shared" si="27"/>
        <v>98492966.400000006</v>
      </c>
      <c r="W49" s="938">
        <f t="shared" si="27"/>
        <v>144081304.31999999</v>
      </c>
    </row>
    <row r="50" spans="1:23">
      <c r="A50" s="807" t="s">
        <v>496</v>
      </c>
      <c r="B50" s="953">
        <v>0.1</v>
      </c>
      <c r="Q50" s="652"/>
      <c r="R50" s="652"/>
      <c r="S50" s="652"/>
      <c r="T50" s="652">
        <f>T49*$B$50</f>
        <v>7045800</v>
      </c>
      <c r="U50" s="652">
        <f>U49*$B$50</f>
        <v>6724828.8000000007</v>
      </c>
      <c r="V50" s="652">
        <f>V49*$B$50</f>
        <v>9849296.6400000006</v>
      </c>
      <c r="W50" s="652">
        <f>W49*$B$50</f>
        <v>14408130.432</v>
      </c>
    </row>
    <row r="51" spans="1:23" ht="14.5" thickBot="1">
      <c r="A51" s="144" t="s">
        <v>133</v>
      </c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214">
        <f t="shared" ref="Q51:W51" si="28">SUM(Q49:Q50)</f>
        <v>15398400</v>
      </c>
      <c r="R51" s="214">
        <f t="shared" si="28"/>
        <v>17577600</v>
      </c>
      <c r="S51" s="214">
        <f t="shared" si="28"/>
        <v>48195000</v>
      </c>
      <c r="T51" s="214">
        <f t="shared" si="28"/>
        <v>77503800</v>
      </c>
      <c r="U51" s="214">
        <f t="shared" si="28"/>
        <v>73973116.799999997</v>
      </c>
      <c r="V51" s="214">
        <f t="shared" si="28"/>
        <v>108342263.04000001</v>
      </c>
      <c r="W51" s="438">
        <f t="shared" si="28"/>
        <v>158489434.752</v>
      </c>
    </row>
    <row r="52" spans="1:23" ht="14.5" thickTop="1">
      <c r="Q52" s="780"/>
      <c r="R52" s="780"/>
      <c r="S52" s="780"/>
      <c r="T52" s="780"/>
      <c r="U52" s="780"/>
      <c r="V52" s="780"/>
      <c r="W52" s="780"/>
    </row>
    <row r="53" spans="1:23">
      <c r="O53" s="121" t="s">
        <v>497</v>
      </c>
      <c r="Q53" s="806">
        <f>'P&amp;L'!C15*10^7</f>
        <v>0</v>
      </c>
      <c r="R53" s="806">
        <f>'P&amp;L'!D15*10^7</f>
        <v>17462870</v>
      </c>
      <c r="S53" s="806">
        <f>'P&amp;L'!E15*10^7</f>
        <v>48152156.469999999</v>
      </c>
    </row>
    <row r="54" spans="1:23">
      <c r="A54" s="2" t="s">
        <v>498</v>
      </c>
      <c r="O54" s="121" t="s">
        <v>499</v>
      </c>
      <c r="Q54" s="616">
        <f>Q51-Q53</f>
        <v>15398400</v>
      </c>
      <c r="R54" s="616">
        <f>R51-R53</f>
        <v>114730</v>
      </c>
      <c r="S54" s="616">
        <f>S51-S53</f>
        <v>42843.530000001192</v>
      </c>
      <c r="T54" s="141" t="s">
        <v>532</v>
      </c>
    </row>
    <row r="55" spans="1:23">
      <c r="A55" s="141" t="s">
        <v>500</v>
      </c>
      <c r="Q55" s="726"/>
      <c r="R55" s="726"/>
      <c r="S55" s="726"/>
    </row>
    <row r="56" spans="1:23">
      <c r="A56" s="141" t="s">
        <v>501</v>
      </c>
    </row>
    <row r="57" spans="1:23">
      <c r="A57" s="141" t="s">
        <v>502</v>
      </c>
    </row>
    <row r="58" spans="1:23">
      <c r="A58" s="142" t="s">
        <v>503</v>
      </c>
    </row>
  </sheetData>
  <mergeCells count="4">
    <mergeCell ref="A7:A8"/>
    <mergeCell ref="C7:I7"/>
    <mergeCell ref="J7:P7"/>
    <mergeCell ref="Q7:W7"/>
  </mergeCells>
  <pageMargins left="0.7" right="0.7" top="0.75" bottom="0.75" header="0.3" footer="0.3"/>
  <pageSetup orientation="portrait" r:id="rId1"/>
  <customProperties>
    <customPr name="OrphanNamesChecked" r:id="rId2"/>
  </customProperties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2A29-FCDC-B549-B5E8-B1AB6F50A8B9}">
  <dimension ref="A1:BL146"/>
  <sheetViews>
    <sheetView showGridLines="0" zoomScaleNormal="100" workbookViewId="0">
      <pane xSplit="4" ySplit="5" topLeftCell="AH103" activePane="bottomRight" state="frozen"/>
      <selection pane="topRight" activeCell="E1" sqref="E1"/>
      <selection pane="bottomLeft" activeCell="A6" sqref="A6"/>
      <selection pane="bottomRight" activeCell="Q55" sqref="Q55"/>
    </sheetView>
  </sheetViews>
  <sheetFormatPr defaultColWidth="9.1796875" defaultRowHeight="12.5"/>
  <cols>
    <col min="1" max="1" width="4.1796875" style="67" customWidth="1"/>
    <col min="2" max="2" width="13.54296875" style="68" bestFit="1" customWidth="1"/>
    <col min="3" max="3" width="17.54296875" style="67" customWidth="1"/>
    <col min="4" max="4" width="15.81640625" style="68" customWidth="1"/>
    <col min="5" max="5" width="13.1796875" style="68" bestFit="1" customWidth="1"/>
    <col min="6" max="6" width="12.453125" style="68" bestFit="1" customWidth="1"/>
    <col min="7" max="7" width="17.81640625" style="68" bestFit="1" customWidth="1"/>
    <col min="8" max="8" width="14.453125" style="67" bestFit="1" customWidth="1"/>
    <col min="9" max="9" width="11.81640625" style="67" bestFit="1" customWidth="1"/>
    <col min="10" max="10" width="19.1796875" style="67" bestFit="1" customWidth="1"/>
    <col min="11" max="11" width="13.1796875" style="67" bestFit="1" customWidth="1"/>
    <col min="12" max="12" width="8.81640625" style="67" bestFit="1" customWidth="1"/>
    <col min="13" max="13" width="18" style="67" bestFit="1" customWidth="1"/>
    <col min="14" max="14" width="15.1796875" style="67" bestFit="1" customWidth="1"/>
    <col min="15" max="15" width="11.81640625" style="67" bestFit="1" customWidth="1"/>
    <col min="16" max="16" width="19.1796875" style="67" bestFit="1" customWidth="1"/>
    <col min="17" max="17" width="13.1796875" style="67" bestFit="1" customWidth="1"/>
    <col min="18" max="18" width="13.1796875" style="67" customWidth="1"/>
    <col min="19" max="19" width="10" style="67" bestFit="1" customWidth="1"/>
    <col min="20" max="20" width="17.453125" style="67" bestFit="1" customWidth="1"/>
    <col min="21" max="21" width="14.81640625" style="67" bestFit="1" customWidth="1"/>
    <col min="22" max="22" width="11.81640625" style="67" bestFit="1" customWidth="1"/>
    <col min="23" max="23" width="19.81640625" style="67" bestFit="1" customWidth="1"/>
    <col min="24" max="24" width="13.1796875" style="67" bestFit="1" customWidth="1"/>
    <col min="25" max="25" width="13.1796875" style="67" customWidth="1"/>
    <col min="26" max="26" width="9.54296875" style="67" bestFit="1" customWidth="1"/>
    <col min="27" max="27" width="6.54296875" style="67" customWidth="1"/>
    <col min="28" max="28" width="9.54296875" style="67" customWidth="1"/>
    <col min="29" max="29" width="9.81640625" style="67" customWidth="1"/>
    <col min="30" max="30" width="19.81640625" style="67" bestFit="1" customWidth="1"/>
    <col min="31" max="31" width="13.1796875" style="67" bestFit="1" customWidth="1"/>
    <col min="32" max="32" width="13.1796875" style="67" customWidth="1"/>
    <col min="33" max="33" width="9.54296875" style="67" bestFit="1" customWidth="1"/>
    <col min="34" max="34" width="6.54296875" style="67" customWidth="1"/>
    <col min="35" max="35" width="9.453125" style="67" bestFit="1" customWidth="1"/>
    <col min="36" max="36" width="8.81640625" style="67" customWidth="1"/>
    <col min="37" max="37" width="21" style="67" bestFit="1" customWidth="1"/>
    <col min="38" max="38" width="13.1796875" style="67" bestFit="1" customWidth="1"/>
    <col min="39" max="39" width="13.1796875" style="67" customWidth="1"/>
    <col min="40" max="40" width="8.81640625" style="67" bestFit="1" customWidth="1"/>
    <col min="41" max="41" width="6.54296875" style="67" customWidth="1"/>
    <col min="42" max="42" width="10.81640625" style="67" customWidth="1"/>
    <col min="43" max="43" width="11.81640625" style="67" customWidth="1"/>
    <col min="44" max="44" width="20.54296875" style="67" bestFit="1" customWidth="1"/>
    <col min="45" max="45" width="13.1796875" style="67" bestFit="1" customWidth="1"/>
    <col min="46" max="46" width="13.1796875" style="67" customWidth="1"/>
    <col min="47" max="47" width="9.54296875" style="67" bestFit="1" customWidth="1"/>
    <col min="48" max="48" width="6.54296875" style="67" customWidth="1"/>
    <col min="49" max="50" width="10.54296875" style="67" customWidth="1"/>
    <col min="51" max="51" width="20.54296875" style="67" bestFit="1" customWidth="1"/>
    <col min="52" max="52" width="9.1796875" style="67" bestFit="1" customWidth="1"/>
    <col min="53" max="54" width="18.54296875" style="67" bestFit="1" customWidth="1"/>
    <col min="55" max="55" width="18.81640625" style="67" bestFit="1" customWidth="1"/>
    <col min="56" max="56" width="18.54296875" style="67" bestFit="1" customWidth="1"/>
    <col min="57" max="57" width="18.81640625" style="67" bestFit="1" customWidth="1"/>
    <col min="58" max="58" width="3" style="67" customWidth="1"/>
    <col min="59" max="64" width="11.54296875" style="67" bestFit="1" customWidth="1"/>
    <col min="65" max="16384" width="9.1796875" style="67"/>
  </cols>
  <sheetData>
    <row r="1" spans="1:64">
      <c r="J1" s="318"/>
      <c r="P1" s="318"/>
      <c r="W1" s="318"/>
      <c r="AD1" s="318"/>
      <c r="AK1" s="318"/>
      <c r="AR1" s="318"/>
      <c r="AY1" s="318"/>
    </row>
    <row r="2" spans="1:64" ht="15.5">
      <c r="B2" s="66" t="s">
        <v>271</v>
      </c>
      <c r="G2" s="69"/>
      <c r="H2" s="70"/>
      <c r="I2" s="70"/>
      <c r="J2" s="318"/>
      <c r="P2" s="318"/>
      <c r="W2" s="318"/>
      <c r="AD2" s="318"/>
      <c r="AK2" s="318"/>
      <c r="AR2" s="318"/>
      <c r="AY2" s="318"/>
      <c r="BA2" s="67" t="s">
        <v>272</v>
      </c>
      <c r="BH2" s="67" t="s">
        <v>273</v>
      </c>
    </row>
    <row r="3" spans="1:64">
      <c r="J3" s="318"/>
      <c r="P3" s="318"/>
      <c r="W3" s="337"/>
      <c r="X3" s="71" t="s">
        <v>274</v>
      </c>
      <c r="Y3" s="71"/>
      <c r="AD3" s="337"/>
      <c r="AE3" s="71" t="s">
        <v>274</v>
      </c>
      <c r="AF3" s="71"/>
      <c r="AK3" s="337"/>
      <c r="AL3" s="71" t="s">
        <v>274</v>
      </c>
      <c r="AM3" s="71"/>
      <c r="AR3" s="337"/>
      <c r="AS3" s="71" t="s">
        <v>274</v>
      </c>
      <c r="AT3" s="71"/>
      <c r="AY3" s="337"/>
      <c r="BI3" s="67">
        <v>3</v>
      </c>
    </row>
    <row r="4" spans="1:64" s="73" customFormat="1" ht="15" customHeight="1">
      <c r="B4" s="72"/>
      <c r="D4" s="72"/>
      <c r="E4" s="1021" t="s">
        <v>275</v>
      </c>
      <c r="F4" s="1022"/>
      <c r="G4" s="1022"/>
      <c r="H4" s="1022"/>
      <c r="I4" s="1022"/>
      <c r="J4" s="1023"/>
      <c r="K4" s="1022" t="s">
        <v>276</v>
      </c>
      <c r="L4" s="1022"/>
      <c r="M4" s="1022"/>
      <c r="N4" s="1022"/>
      <c r="O4" s="1022"/>
      <c r="P4" s="1022"/>
      <c r="Q4" s="1022" t="s">
        <v>277</v>
      </c>
      <c r="R4" s="1022"/>
      <c r="S4" s="1022"/>
      <c r="T4" s="1022"/>
      <c r="U4" s="1022"/>
      <c r="V4" s="1022"/>
      <c r="W4" s="1022"/>
      <c r="X4" s="74" t="s">
        <v>278</v>
      </c>
      <c r="Y4" s="74"/>
      <c r="Z4" s="74"/>
      <c r="AA4" s="74"/>
      <c r="AB4" s="74"/>
      <c r="AC4" s="74"/>
      <c r="AD4" s="341"/>
      <c r="AE4" s="74" t="s">
        <v>279</v>
      </c>
      <c r="AF4" s="74"/>
      <c r="AG4" s="74"/>
      <c r="AH4" s="74"/>
      <c r="AI4" s="74"/>
      <c r="AJ4" s="74"/>
      <c r="AK4" s="74"/>
      <c r="AL4" s="74" t="s">
        <v>280</v>
      </c>
      <c r="AM4" s="74"/>
      <c r="AN4" s="74"/>
      <c r="AO4" s="74"/>
      <c r="AP4" s="74"/>
      <c r="AQ4" s="74"/>
      <c r="AR4" s="74"/>
      <c r="AS4" s="74" t="s">
        <v>281</v>
      </c>
      <c r="AT4" s="74"/>
      <c r="AU4" s="74"/>
      <c r="AV4" s="74"/>
      <c r="AW4" s="74"/>
      <c r="AX4" s="74"/>
      <c r="AY4" s="74"/>
      <c r="BA4" s="203" t="s">
        <v>277</v>
      </c>
      <c r="BB4" s="203" t="s">
        <v>278</v>
      </c>
      <c r="BC4" s="274" t="s">
        <v>279</v>
      </c>
      <c r="BD4" s="279" t="s">
        <v>280</v>
      </c>
      <c r="BE4" s="274" t="s">
        <v>281</v>
      </c>
      <c r="BH4" s="203" t="s">
        <v>277</v>
      </c>
      <c r="BI4" s="203" t="s">
        <v>278</v>
      </c>
      <c r="BJ4" s="274" t="s">
        <v>279</v>
      </c>
      <c r="BK4" s="279" t="s">
        <v>280</v>
      </c>
      <c r="BL4" s="274" t="s">
        <v>281</v>
      </c>
    </row>
    <row r="5" spans="1:64" s="78" customFormat="1" ht="27" customHeight="1">
      <c r="B5" s="75" t="s">
        <v>87</v>
      </c>
      <c r="C5" s="76" t="s">
        <v>282</v>
      </c>
      <c r="D5" s="77" t="s">
        <v>283</v>
      </c>
      <c r="E5" s="288" t="s">
        <v>284</v>
      </c>
      <c r="F5" s="75" t="s">
        <v>285</v>
      </c>
      <c r="G5" s="75" t="s">
        <v>286</v>
      </c>
      <c r="H5" s="75" t="s">
        <v>287</v>
      </c>
      <c r="I5" s="75" t="s">
        <v>288</v>
      </c>
      <c r="J5" s="319" t="s">
        <v>289</v>
      </c>
      <c r="K5" s="287" t="s">
        <v>284</v>
      </c>
      <c r="L5" s="75" t="s">
        <v>285</v>
      </c>
      <c r="M5" s="75" t="s">
        <v>286</v>
      </c>
      <c r="N5" s="75" t="s">
        <v>287</v>
      </c>
      <c r="O5" s="75" t="s">
        <v>288</v>
      </c>
      <c r="P5" s="319" t="s">
        <v>290</v>
      </c>
      <c r="Q5" s="76" t="s">
        <v>291</v>
      </c>
      <c r="R5" s="76" t="s">
        <v>284</v>
      </c>
      <c r="S5" s="75" t="s">
        <v>285</v>
      </c>
      <c r="T5" s="75" t="s">
        <v>286</v>
      </c>
      <c r="U5" s="77" t="s">
        <v>287</v>
      </c>
      <c r="V5" s="75" t="s">
        <v>288</v>
      </c>
      <c r="W5" s="319" t="s">
        <v>290</v>
      </c>
      <c r="X5" s="76" t="s">
        <v>291</v>
      </c>
      <c r="Y5" s="76" t="s">
        <v>284</v>
      </c>
      <c r="Z5" s="75" t="s">
        <v>285</v>
      </c>
      <c r="AA5" s="75" t="s">
        <v>286</v>
      </c>
      <c r="AB5" s="75" t="s">
        <v>287</v>
      </c>
      <c r="AC5" s="75" t="s">
        <v>288</v>
      </c>
      <c r="AD5" s="319" t="s">
        <v>6</v>
      </c>
      <c r="AE5" s="76" t="s">
        <v>291</v>
      </c>
      <c r="AF5" s="76" t="s">
        <v>284</v>
      </c>
      <c r="AG5" s="75" t="s">
        <v>285</v>
      </c>
      <c r="AH5" s="75" t="s">
        <v>286</v>
      </c>
      <c r="AI5" s="75" t="s">
        <v>287</v>
      </c>
      <c r="AJ5" s="75" t="s">
        <v>288</v>
      </c>
      <c r="AK5" s="319" t="s">
        <v>6</v>
      </c>
      <c r="AL5" s="76" t="s">
        <v>291</v>
      </c>
      <c r="AM5" s="76" t="s">
        <v>284</v>
      </c>
      <c r="AN5" s="75" t="s">
        <v>285</v>
      </c>
      <c r="AO5" s="75" t="s">
        <v>286</v>
      </c>
      <c r="AP5" s="75" t="s">
        <v>287</v>
      </c>
      <c r="AQ5" s="75" t="s">
        <v>288</v>
      </c>
      <c r="AR5" s="319" t="s">
        <v>6</v>
      </c>
      <c r="AS5" s="76" t="s">
        <v>291</v>
      </c>
      <c r="AT5" s="76" t="s">
        <v>284</v>
      </c>
      <c r="AU5" s="75" t="s">
        <v>285</v>
      </c>
      <c r="AV5" s="75" t="s">
        <v>286</v>
      </c>
      <c r="AW5" s="75" t="s">
        <v>287</v>
      </c>
      <c r="AX5" s="75" t="s">
        <v>288</v>
      </c>
      <c r="AY5" s="319" t="s">
        <v>6</v>
      </c>
    </row>
    <row r="6" spans="1:64" s="68" customFormat="1" ht="27" customHeight="1">
      <c r="B6" s="79" t="s">
        <v>292</v>
      </c>
      <c r="C6" s="80"/>
      <c r="D6" s="81"/>
      <c r="E6" s="289"/>
      <c r="F6" s="79"/>
      <c r="G6" s="79"/>
      <c r="H6" s="79"/>
      <c r="I6" s="79"/>
      <c r="J6" s="320"/>
      <c r="K6" s="79"/>
      <c r="L6" s="79"/>
      <c r="M6" s="79"/>
      <c r="N6" s="79"/>
      <c r="O6" s="79"/>
      <c r="P6" s="320"/>
      <c r="Q6" s="79"/>
      <c r="R6" s="79"/>
      <c r="S6" s="79"/>
      <c r="T6" s="79"/>
      <c r="U6" s="79"/>
      <c r="V6" s="79"/>
      <c r="W6" s="320"/>
      <c r="X6" s="79"/>
      <c r="Y6" s="79"/>
      <c r="Z6" s="79"/>
      <c r="AA6" s="79"/>
      <c r="AB6" s="79"/>
      <c r="AC6" s="79"/>
      <c r="AD6" s="320"/>
      <c r="AE6" s="79"/>
      <c r="AF6" s="79"/>
      <c r="AG6" s="79"/>
      <c r="AH6" s="79"/>
      <c r="AI6" s="79"/>
      <c r="AJ6" s="79"/>
      <c r="AK6" s="320"/>
      <c r="AL6" s="79"/>
      <c r="AM6" s="79"/>
      <c r="AN6" s="79"/>
      <c r="AO6" s="79"/>
      <c r="AP6" s="79"/>
      <c r="AQ6" s="79"/>
      <c r="AR6" s="320"/>
      <c r="AS6" s="79"/>
      <c r="AT6" s="79"/>
      <c r="AU6" s="79"/>
      <c r="AV6" s="79"/>
      <c r="AW6" s="79"/>
      <c r="AX6" s="79"/>
      <c r="AY6" s="320"/>
      <c r="BC6" s="283"/>
    </row>
    <row r="7" spans="1:64">
      <c r="B7" s="68" t="s">
        <v>95</v>
      </c>
      <c r="C7" s="149" t="s">
        <v>293</v>
      </c>
      <c r="D7" s="68" t="s">
        <v>294</v>
      </c>
      <c r="E7" s="290">
        <v>72</v>
      </c>
      <c r="F7" s="157"/>
      <c r="G7" s="157">
        <v>2283825</v>
      </c>
      <c r="H7" s="157">
        <v>5848</v>
      </c>
      <c r="I7" s="158">
        <f t="shared" ref="I7:I12" si="0">J7/H7</f>
        <v>10736.240282147724</v>
      </c>
      <c r="J7" s="321">
        <v>62785533.169999897</v>
      </c>
      <c r="K7" s="158">
        <v>101</v>
      </c>
      <c r="L7" s="158"/>
      <c r="M7" s="158">
        <v>6148770</v>
      </c>
      <c r="N7" s="158">
        <v>12387</v>
      </c>
      <c r="O7" s="158">
        <f t="shared" ref="O7:O35" si="1">P7/N7</f>
        <v>14807.22205860983</v>
      </c>
      <c r="P7" s="321">
        <v>183417059.63999996</v>
      </c>
      <c r="Q7" s="158">
        <f>202</f>
        <v>202</v>
      </c>
      <c r="R7" s="158">
        <f t="shared" ref="R7:R54" si="2">Q7-S7</f>
        <v>131</v>
      </c>
      <c r="S7" s="1024">
        <f>VLOOKUP($C7,[3]Assum!$B$11:$G$22,2,FALSE)*HLOOKUP($B7,[3]Assum!$C$9:$G$10,2,FALSE)*S$55</f>
        <v>71</v>
      </c>
      <c r="T7" s="158">
        <v>39856180</v>
      </c>
      <c r="U7" s="158">
        <v>76510</v>
      </c>
      <c r="V7" s="158">
        <f t="shared" ref="V7:V31" si="3">W7/U7</f>
        <v>9972.5176227944066</v>
      </c>
      <c r="W7" s="321">
        <v>762997323.32000005</v>
      </c>
      <c r="X7" s="248">
        <f>Y7+Z7</f>
        <v>416.11249999999995</v>
      </c>
      <c r="Y7" s="248">
        <f>SUM(R7:R10)+(Y$56*[3]Assum!$C$38)</f>
        <v>344.76249999999999</v>
      </c>
      <c r="Z7" s="248">
        <f>S7+(Z$57*[3]Assum!$C$28)</f>
        <v>71.349999999999994</v>
      </c>
      <c r="AA7" s="68"/>
      <c r="AB7" s="68"/>
      <c r="AC7" s="68"/>
      <c r="AD7" s="321">
        <f>$BB7*($BI$7)</f>
        <v>808839647.80320013</v>
      </c>
      <c r="AE7" s="248">
        <f>AF7+AG7</f>
        <v>421.73749999999995</v>
      </c>
      <c r="AF7" s="248">
        <f>Y7+(AF$56*[3]Assum!$D$38)</f>
        <v>350.01249999999999</v>
      </c>
      <c r="AG7" s="248">
        <f>Z7+(AG$57*[3]Assum!$D$28)</f>
        <v>71.724999999999994</v>
      </c>
      <c r="AH7" s="68"/>
      <c r="AI7" s="68"/>
      <c r="AJ7" s="68"/>
      <c r="AK7" s="321">
        <f>$BC7*($BJ$7)</f>
        <v>920055099.37614</v>
      </c>
      <c r="AL7" s="248">
        <f>AM7+AN7</f>
        <v>427.93749999999994</v>
      </c>
      <c r="AM7" s="248">
        <f>AF7+(AM$56*[3]Assum!$E$38)</f>
        <v>355.78749999999997</v>
      </c>
      <c r="AN7" s="248">
        <f>AG7+(AN$57*[3]Assum!$E$28)</f>
        <v>72.149999999999991</v>
      </c>
      <c r="AO7" s="68"/>
      <c r="AP7" s="68"/>
      <c r="AQ7" s="68"/>
      <c r="AR7" s="321">
        <f>$BD7*($BK$7)</f>
        <v>985773320.76015007</v>
      </c>
      <c r="AS7" s="248">
        <f>AT7+AU7</f>
        <v>434.74999999999994</v>
      </c>
      <c r="AT7" s="248">
        <f>AM7+(AT$56*[3]Assum!$F$38)</f>
        <v>362.12499999999994</v>
      </c>
      <c r="AU7" s="248">
        <f>AN7+(AU$57*[3]Assum!$E$28)</f>
        <v>72.624999999999986</v>
      </c>
      <c r="AV7" s="248"/>
      <c r="AW7" s="248"/>
      <c r="AX7" s="248"/>
      <c r="AY7" s="321">
        <f>$BE7*($BL$7)</f>
        <v>1026847209.1251564</v>
      </c>
      <c r="AZ7" s="68"/>
      <c r="BA7" s="1040">
        <f>SUM(W7:W10)</f>
        <v>777730430.58000004</v>
      </c>
      <c r="BB7" s="1034">
        <f>BA7*(1+[3]Assum!C$42)</f>
        <v>1011049559.7540001</v>
      </c>
      <c r="BC7" s="1034">
        <f>BB7*(1+[3]Assum!D$42)</f>
        <v>1314364427.6802001</v>
      </c>
      <c r="BD7" s="1034">
        <f>BC7*(1+[3]Assum!E$42)</f>
        <v>1642955534.6002502</v>
      </c>
      <c r="BE7" s="1034">
        <f>BD7*(1+[3]Assum!F42)</f>
        <v>2053694418.2503128</v>
      </c>
      <c r="BG7" s="196" t="s">
        <v>294</v>
      </c>
      <c r="BH7" s="169">
        <f>W124</f>
        <v>0.95180373364503013</v>
      </c>
      <c r="BI7" s="169">
        <v>0.8</v>
      </c>
      <c r="BJ7" s="169">
        <v>0.7</v>
      </c>
      <c r="BK7" s="169">
        <v>0.6</v>
      </c>
      <c r="BL7" s="169">
        <v>0.5</v>
      </c>
    </row>
    <row r="8" spans="1:64">
      <c r="B8" s="303" t="s">
        <v>95</v>
      </c>
      <c r="C8" s="304" t="s">
        <v>293</v>
      </c>
      <c r="D8" s="68" t="s">
        <v>295</v>
      </c>
      <c r="E8" s="290">
        <v>14</v>
      </c>
      <c r="F8" s="157"/>
      <c r="G8" s="157"/>
      <c r="H8" s="157">
        <v>35</v>
      </c>
      <c r="I8" s="158">
        <f t="shared" si="0"/>
        <v>4169.6394285714277</v>
      </c>
      <c r="J8" s="321">
        <v>145937.37999999998</v>
      </c>
      <c r="K8" s="158">
        <v>11</v>
      </c>
      <c r="L8" s="158"/>
      <c r="M8" s="158"/>
      <c r="N8" s="158">
        <v>17</v>
      </c>
      <c r="O8" s="158">
        <f t="shared" si="1"/>
        <v>63434.697058823534</v>
      </c>
      <c r="P8" s="321">
        <v>1078389.8500000001</v>
      </c>
      <c r="Q8" s="158">
        <v>14</v>
      </c>
      <c r="R8" s="248">
        <f t="shared" si="2"/>
        <v>14</v>
      </c>
      <c r="S8" s="1024"/>
      <c r="T8" s="158"/>
      <c r="U8" s="158">
        <v>21</v>
      </c>
      <c r="V8" s="158">
        <f t="shared" si="3"/>
        <v>94112.994285714274</v>
      </c>
      <c r="W8" s="321">
        <v>1976372.88</v>
      </c>
      <c r="X8" s="248"/>
      <c r="Y8" s="248"/>
      <c r="Z8" s="248"/>
      <c r="AA8" s="68"/>
      <c r="AB8" s="68"/>
      <c r="AC8" s="68"/>
      <c r="AD8" s="321">
        <f>$BB$7*($BI$8)</f>
        <v>67403303.983599991</v>
      </c>
      <c r="AE8" s="248"/>
      <c r="AF8" s="248"/>
      <c r="AG8" s="248"/>
      <c r="AH8" s="68"/>
      <c r="AI8" s="68"/>
      <c r="AJ8" s="68"/>
      <c r="AK8" s="321">
        <f>$BC$7*($BJ$8)</f>
        <v>131436442.76802003</v>
      </c>
      <c r="AL8" s="248"/>
      <c r="AM8" s="248"/>
      <c r="AN8" s="248"/>
      <c r="AO8" s="68"/>
      <c r="AP8" s="68"/>
      <c r="AQ8" s="68"/>
      <c r="AR8" s="321">
        <f>$BD$7*($BK$8)</f>
        <v>219060737.94670004</v>
      </c>
      <c r="AS8" s="248"/>
      <c r="AT8" s="248"/>
      <c r="AU8" s="248"/>
      <c r="AV8" s="248"/>
      <c r="AW8" s="248"/>
      <c r="AX8" s="248"/>
      <c r="AY8" s="321">
        <f>$BE$7*($BL$8)</f>
        <v>342282403.04171878</v>
      </c>
      <c r="AZ8" s="68"/>
      <c r="BA8" s="1041"/>
      <c r="BB8" s="1035"/>
      <c r="BC8" s="1035"/>
      <c r="BD8" s="1035"/>
      <c r="BE8" s="1035"/>
      <c r="BG8" s="196" t="s">
        <v>295</v>
      </c>
      <c r="BH8" s="169">
        <f>W125</f>
        <v>8.2189050283051832E-3</v>
      </c>
      <c r="BI8" s="284">
        <f t="shared" ref="BI8:BL10" si="4">(100%-BI$7)/$BI$3</f>
        <v>6.6666666666666652E-2</v>
      </c>
      <c r="BJ8" s="284">
        <f t="shared" si="4"/>
        <v>0.10000000000000002</v>
      </c>
      <c r="BK8" s="284">
        <f t="shared" si="4"/>
        <v>0.13333333333333333</v>
      </c>
      <c r="BL8" s="284">
        <f t="shared" si="4"/>
        <v>0.16666666666666666</v>
      </c>
    </row>
    <row r="9" spans="1:64">
      <c r="B9" s="303" t="s">
        <v>95</v>
      </c>
      <c r="C9" s="304" t="s">
        <v>293</v>
      </c>
      <c r="D9" s="68" t="s">
        <v>296</v>
      </c>
      <c r="E9" s="290">
        <v>15</v>
      </c>
      <c r="F9" s="157"/>
      <c r="G9" s="157"/>
      <c r="H9" s="157">
        <v>89</v>
      </c>
      <c r="I9" s="158">
        <f t="shared" si="0"/>
        <v>6009.3159550561813</v>
      </c>
      <c r="J9" s="321">
        <v>534829.12000000011</v>
      </c>
      <c r="K9" s="158">
        <v>16</v>
      </c>
      <c r="L9" s="158"/>
      <c r="M9" s="158"/>
      <c r="N9" s="158">
        <v>55</v>
      </c>
      <c r="O9" s="158">
        <f t="shared" si="1"/>
        <v>42596.855636363631</v>
      </c>
      <c r="P9" s="321">
        <v>2342827.0599999996</v>
      </c>
      <c r="Q9" s="158">
        <v>45</v>
      </c>
      <c r="R9" s="248">
        <f t="shared" si="2"/>
        <v>45</v>
      </c>
      <c r="S9" s="1024"/>
      <c r="T9" s="158"/>
      <c r="U9" s="158">
        <v>190</v>
      </c>
      <c r="V9" s="158">
        <f t="shared" si="3"/>
        <v>34392.704421052629</v>
      </c>
      <c r="W9" s="321">
        <v>6534613.8399999999</v>
      </c>
      <c r="X9" s="248"/>
      <c r="Y9" s="248"/>
      <c r="Z9" s="248"/>
      <c r="AA9" s="68"/>
      <c r="AB9" s="68"/>
      <c r="AC9" s="68"/>
      <c r="AD9" s="321">
        <f>$BB$7*($BI$9)</f>
        <v>67403303.983599991</v>
      </c>
      <c r="AE9" s="248"/>
      <c r="AF9" s="248"/>
      <c r="AG9" s="248"/>
      <c r="AH9" s="68"/>
      <c r="AI9" s="68"/>
      <c r="AJ9" s="68"/>
      <c r="AK9" s="321">
        <f>$BC$7*($BJ$9)</f>
        <v>131436442.76802003</v>
      </c>
      <c r="AL9" s="248"/>
      <c r="AM9" s="248"/>
      <c r="AN9" s="248"/>
      <c r="AO9" s="68"/>
      <c r="AP9" s="68"/>
      <c r="AQ9" s="68"/>
      <c r="AR9" s="321">
        <f>$BD$7*($BK$9)</f>
        <v>219060737.94670004</v>
      </c>
      <c r="AS9" s="248"/>
      <c r="AT9" s="248"/>
      <c r="AU9" s="248"/>
      <c r="AV9" s="248"/>
      <c r="AW9" s="248"/>
      <c r="AX9" s="248"/>
      <c r="AY9" s="321">
        <f>$BE$7*($BL$9)</f>
        <v>342282403.04171878</v>
      </c>
      <c r="AZ9" s="68"/>
      <c r="BA9" s="1041"/>
      <c r="BB9" s="1035"/>
      <c r="BC9" s="1035"/>
      <c r="BD9" s="1035"/>
      <c r="BE9" s="1035"/>
      <c r="BG9" s="196" t="s">
        <v>296</v>
      </c>
      <c r="BH9" s="169">
        <f>W126</f>
        <v>2.3951530704315063E-2</v>
      </c>
      <c r="BI9" s="284">
        <f t="shared" si="4"/>
        <v>6.6666666666666652E-2</v>
      </c>
      <c r="BJ9" s="284">
        <f t="shared" si="4"/>
        <v>0.10000000000000002</v>
      </c>
      <c r="BK9" s="284">
        <f t="shared" si="4"/>
        <v>0.13333333333333333</v>
      </c>
      <c r="BL9" s="284">
        <f t="shared" si="4"/>
        <v>0.16666666666666666</v>
      </c>
    </row>
    <row r="10" spans="1:64">
      <c r="B10" s="305" t="s">
        <v>95</v>
      </c>
      <c r="C10" s="306" t="s">
        <v>293</v>
      </c>
      <c r="D10" s="307" t="s">
        <v>297</v>
      </c>
      <c r="E10" s="308">
        <v>100</v>
      </c>
      <c r="F10" s="309"/>
      <c r="G10" s="309"/>
      <c r="H10" s="309">
        <v>27503</v>
      </c>
      <c r="I10" s="310">
        <f t="shared" si="0"/>
        <v>171.12055739373889</v>
      </c>
      <c r="J10" s="322">
        <v>4706328.6900000004</v>
      </c>
      <c r="K10" s="310">
        <v>110</v>
      </c>
      <c r="L10" s="310"/>
      <c r="M10" s="310"/>
      <c r="N10" s="310">
        <v>14560</v>
      </c>
      <c r="O10" s="310">
        <f t="shared" si="1"/>
        <v>483.31773969780289</v>
      </c>
      <c r="P10" s="322">
        <v>7037106.2900000103</v>
      </c>
      <c r="Q10" s="310">
        <v>150</v>
      </c>
      <c r="R10" s="310">
        <f t="shared" si="2"/>
        <v>150</v>
      </c>
      <c r="S10" s="1025"/>
      <c r="T10" s="310"/>
      <c r="U10" s="310">
        <v>5770</v>
      </c>
      <c r="V10" s="310">
        <f t="shared" si="3"/>
        <v>1078.3571126516465</v>
      </c>
      <c r="W10" s="322">
        <v>6222120.54</v>
      </c>
      <c r="X10" s="310"/>
      <c r="Y10" s="310"/>
      <c r="Z10" s="310"/>
      <c r="AA10" s="307"/>
      <c r="AB10" s="307"/>
      <c r="AC10" s="307"/>
      <c r="AD10" s="322">
        <f>$BB$7*($BI$10)</f>
        <v>67403303.983599991</v>
      </c>
      <c r="AE10" s="310"/>
      <c r="AF10" s="310"/>
      <c r="AG10" s="310"/>
      <c r="AH10" s="307"/>
      <c r="AI10" s="307"/>
      <c r="AJ10" s="307"/>
      <c r="AK10" s="322">
        <f>$BC$7*($BJ$10)</f>
        <v>131436442.76802003</v>
      </c>
      <c r="AL10" s="310"/>
      <c r="AM10" s="310"/>
      <c r="AN10" s="310"/>
      <c r="AO10" s="307"/>
      <c r="AP10" s="307"/>
      <c r="AQ10" s="307"/>
      <c r="AR10" s="322">
        <f>$BD$7*($BK$10)</f>
        <v>219060737.94670004</v>
      </c>
      <c r="AS10" s="310"/>
      <c r="AT10" s="310"/>
      <c r="AU10" s="310"/>
      <c r="AV10" s="310"/>
      <c r="AW10" s="310"/>
      <c r="AX10" s="310"/>
      <c r="AY10" s="322">
        <f>$BE$7*($BL$10)</f>
        <v>342282403.04171878</v>
      </c>
      <c r="AZ10" s="68"/>
      <c r="BA10" s="1042"/>
      <c r="BB10" s="1036"/>
      <c r="BC10" s="1036"/>
      <c r="BD10" s="1036"/>
      <c r="BE10" s="1036"/>
      <c r="BG10" s="196" t="s">
        <v>297</v>
      </c>
      <c r="BH10" s="169">
        <f>W127</f>
        <v>1.6025830622349573E-2</v>
      </c>
      <c r="BI10" s="284">
        <f t="shared" si="4"/>
        <v>6.6666666666666652E-2</v>
      </c>
      <c r="BJ10" s="284">
        <f t="shared" si="4"/>
        <v>0.10000000000000002</v>
      </c>
      <c r="BK10" s="284">
        <f t="shared" si="4"/>
        <v>0.13333333333333333</v>
      </c>
      <c r="BL10" s="284">
        <f t="shared" si="4"/>
        <v>0.16666666666666666</v>
      </c>
    </row>
    <row r="11" spans="1:64" ht="13">
      <c r="B11" s="281" t="s">
        <v>95</v>
      </c>
      <c r="C11" s="282" t="s">
        <v>298</v>
      </c>
      <c r="D11" s="281" t="s">
        <v>294</v>
      </c>
      <c r="E11" s="291">
        <v>6</v>
      </c>
      <c r="F11" s="182"/>
      <c r="G11" s="182">
        <v>465010</v>
      </c>
      <c r="H11" s="182">
        <v>1195</v>
      </c>
      <c r="I11" s="183">
        <f t="shared" si="0"/>
        <v>9687.8369456066976</v>
      </c>
      <c r="J11" s="323">
        <v>11576965.150000004</v>
      </c>
      <c r="K11" s="183">
        <v>5</v>
      </c>
      <c r="L11" s="183"/>
      <c r="M11" s="183">
        <v>522455</v>
      </c>
      <c r="N11" s="183">
        <v>1006</v>
      </c>
      <c r="O11" s="183">
        <f t="shared" si="1"/>
        <v>14724.193419483103</v>
      </c>
      <c r="P11" s="323">
        <v>14812538.580000002</v>
      </c>
      <c r="Q11" s="183">
        <v>7</v>
      </c>
      <c r="R11" s="183">
        <f t="shared" si="2"/>
        <v>7</v>
      </c>
      <c r="S11" s="1026">
        <f>VLOOKUP($C11,[3]Assum!$B$11:$G$22,2,FALSE)*HLOOKUP($B11,[3]Assum!$C$9:$G$10,2,FALSE)*S$55</f>
        <v>0</v>
      </c>
      <c r="T11" s="183">
        <v>929080</v>
      </c>
      <c r="U11" s="183">
        <v>1785</v>
      </c>
      <c r="V11" s="183">
        <f t="shared" si="3"/>
        <v>9604.8728291316529</v>
      </c>
      <c r="W11" s="323">
        <v>17144698</v>
      </c>
      <c r="X11" s="183">
        <f>Y11+Z11</f>
        <v>26.112499999999994</v>
      </c>
      <c r="Y11" s="183">
        <f>SUM(R11:R14)+(Y$56*[3]Assum!$C$38)</f>
        <v>25.762499999999992</v>
      </c>
      <c r="Z11" s="183">
        <f>S11+(Z$57*[3]Assum!$C$28)</f>
        <v>0.34999999999999992</v>
      </c>
      <c r="AA11" s="281"/>
      <c r="AB11" s="281"/>
      <c r="AC11" s="281"/>
      <c r="AD11" s="323">
        <f>$BB11*($BI$7)</f>
        <v>18827494.160800006</v>
      </c>
      <c r="AE11" s="183">
        <f>AF11+AG11</f>
        <v>31.737499999999994</v>
      </c>
      <c r="AF11" s="183">
        <f>Y11+(AF$56*[3]Assum!$D$38)</f>
        <v>31.012499999999992</v>
      </c>
      <c r="AG11" s="183">
        <f>Z11+(AG$57*[3]Assum!$D$28)</f>
        <v>0.72499999999999987</v>
      </c>
      <c r="AH11" s="281"/>
      <c r="AI11" s="281"/>
      <c r="AJ11" s="281"/>
      <c r="AK11" s="323">
        <f>$BC11*($BJ$7)</f>
        <v>21416274.607910004</v>
      </c>
      <c r="AL11" s="183">
        <f>AM11+AN11</f>
        <v>37.937499999999993</v>
      </c>
      <c r="AM11" s="183">
        <f>AF11+(AM$56*[3]Assum!$E$38)</f>
        <v>36.787499999999994</v>
      </c>
      <c r="AN11" s="183">
        <f>AG11+(AN$57*[3]Assum!$E$28)</f>
        <v>1.1499999999999999</v>
      </c>
      <c r="AO11" s="281"/>
      <c r="AP11" s="281"/>
      <c r="AQ11" s="281"/>
      <c r="AR11" s="323">
        <f>$BD11*($BK$7)</f>
        <v>22946008.508475006</v>
      </c>
      <c r="AS11" s="183">
        <f>AT11+AU11</f>
        <v>44.749999999999993</v>
      </c>
      <c r="AT11" s="183">
        <f>AM11+(AT$56*[3]Assum!$F$38)</f>
        <v>43.124999999999993</v>
      </c>
      <c r="AU11" s="183">
        <f>AN11+(AU$57*[3]Assum!$E$28)</f>
        <v>1.6249999999999998</v>
      </c>
      <c r="AV11" s="183"/>
      <c r="AW11" s="183"/>
      <c r="AX11" s="183"/>
      <c r="AY11" s="323">
        <f>$BE11*($BL$7)</f>
        <v>23902092.196328133</v>
      </c>
      <c r="AZ11" s="68"/>
      <c r="BA11" s="1040">
        <f>SUM(W11:W14)</f>
        <v>18103359.770000003</v>
      </c>
      <c r="BB11" s="1037">
        <f>BA11*(1+[3]Assum!C$43)</f>
        <v>23534367.701000005</v>
      </c>
      <c r="BC11" s="1037">
        <f>BB11*(1+[3]Assum!D$43)</f>
        <v>30594678.011300009</v>
      </c>
      <c r="BD11" s="1037">
        <f>BC11*(1+[3]Assum!E$43)</f>
        <v>38243347.514125012</v>
      </c>
      <c r="BE11" s="1037">
        <f>BD11*(1+[3]Assum!F$43)</f>
        <v>47804184.392656267</v>
      </c>
      <c r="BG11" s="54" t="s">
        <v>299</v>
      </c>
      <c r="BH11" s="311">
        <f>SUM(BH7:BH10)</f>
        <v>0.99999999999999989</v>
      </c>
      <c r="BI11" s="311">
        <f>SUM(BI7:BI10)</f>
        <v>1</v>
      </c>
      <c r="BJ11" s="311">
        <f>SUM(BJ7:BJ10)</f>
        <v>0.99999999999999989</v>
      </c>
      <c r="BK11" s="311">
        <f>SUM(BK7:BK10)</f>
        <v>0.99999999999999989</v>
      </c>
      <c r="BL11" s="311">
        <f>SUM(BL7:BL10)</f>
        <v>0.99999999999999989</v>
      </c>
    </row>
    <row r="12" spans="1:64">
      <c r="B12" s="303" t="s">
        <v>95</v>
      </c>
      <c r="C12" s="312" t="s">
        <v>298</v>
      </c>
      <c r="D12" s="68" t="s">
        <v>295</v>
      </c>
      <c r="E12" s="290">
        <v>1</v>
      </c>
      <c r="F12" s="157"/>
      <c r="G12" s="157"/>
      <c r="H12" s="157">
        <v>4</v>
      </c>
      <c r="I12" s="158">
        <f t="shared" si="0"/>
        <v>2913.1350000000002</v>
      </c>
      <c r="J12" s="321">
        <v>11652.54</v>
      </c>
      <c r="K12" s="158">
        <v>2</v>
      </c>
      <c r="L12" s="158"/>
      <c r="M12" s="158"/>
      <c r="N12" s="158">
        <v>4</v>
      </c>
      <c r="O12" s="158">
        <f t="shared" si="1"/>
        <v>78792.375</v>
      </c>
      <c r="P12" s="321">
        <v>315169.5</v>
      </c>
      <c r="Q12" s="158">
        <v>2</v>
      </c>
      <c r="R12" s="248">
        <f t="shared" si="2"/>
        <v>2</v>
      </c>
      <c r="S12" s="1024"/>
      <c r="T12" s="158"/>
      <c r="U12" s="158">
        <v>22</v>
      </c>
      <c r="V12" s="158">
        <f t="shared" si="3"/>
        <v>5766.9818181818182</v>
      </c>
      <c r="W12" s="321">
        <v>126873.60000000001</v>
      </c>
      <c r="X12" s="248"/>
      <c r="Y12" s="248"/>
      <c r="Z12" s="248"/>
      <c r="AA12" s="68"/>
      <c r="AB12" s="68"/>
      <c r="AC12" s="68"/>
      <c r="AD12" s="321">
        <f>$BB11*($BI$8)</f>
        <v>1568957.8467333333</v>
      </c>
      <c r="AE12" s="248"/>
      <c r="AF12" s="248"/>
      <c r="AG12" s="248"/>
      <c r="AH12" s="68"/>
      <c r="AI12" s="68"/>
      <c r="AJ12" s="68"/>
      <c r="AK12" s="321">
        <f>$BC11*($BJ$8)</f>
        <v>3059467.8011300014</v>
      </c>
      <c r="AL12" s="248"/>
      <c r="AM12" s="248"/>
      <c r="AN12" s="248"/>
      <c r="AO12" s="68"/>
      <c r="AP12" s="68"/>
      <c r="AQ12" s="68"/>
      <c r="AR12" s="321">
        <f>$BD11*($BK$8)</f>
        <v>5099113.0018833345</v>
      </c>
      <c r="AS12" s="248"/>
      <c r="AT12" s="248"/>
      <c r="AU12" s="248"/>
      <c r="AV12" s="248"/>
      <c r="AW12" s="248"/>
      <c r="AX12" s="248"/>
      <c r="AY12" s="321">
        <f>$BE11*($BL$8)</f>
        <v>7967364.0654427111</v>
      </c>
      <c r="AZ12" s="68"/>
      <c r="BA12" s="1041"/>
      <c r="BB12" s="1038"/>
      <c r="BC12" s="1038"/>
      <c r="BD12" s="1038"/>
      <c r="BE12" s="1038"/>
    </row>
    <row r="13" spans="1:64">
      <c r="B13" s="303" t="s">
        <v>95</v>
      </c>
      <c r="C13" s="312" t="s">
        <v>298</v>
      </c>
      <c r="D13" s="68" t="s">
        <v>296</v>
      </c>
      <c r="E13" s="290"/>
      <c r="F13" s="157"/>
      <c r="G13" s="157"/>
      <c r="H13" s="157"/>
      <c r="I13" s="157"/>
      <c r="J13" s="321">
        <v>0</v>
      </c>
      <c r="K13" s="158">
        <v>2</v>
      </c>
      <c r="L13" s="158"/>
      <c r="M13" s="158"/>
      <c r="N13" s="158">
        <v>11</v>
      </c>
      <c r="O13" s="158">
        <f t="shared" si="1"/>
        <v>34902.610909090909</v>
      </c>
      <c r="P13" s="321">
        <v>383928.72000000003</v>
      </c>
      <c r="Q13" s="158">
        <v>3</v>
      </c>
      <c r="R13" s="248">
        <f t="shared" si="2"/>
        <v>3</v>
      </c>
      <c r="S13" s="1024"/>
      <c r="T13" s="158"/>
      <c r="U13" s="158">
        <v>14</v>
      </c>
      <c r="V13" s="158">
        <f t="shared" si="3"/>
        <v>44692.857142857145</v>
      </c>
      <c r="W13" s="321">
        <v>625700</v>
      </c>
      <c r="X13" s="248"/>
      <c r="Y13" s="248"/>
      <c r="Z13" s="248"/>
      <c r="AA13" s="68"/>
      <c r="AB13" s="68"/>
      <c r="AC13" s="68"/>
      <c r="AD13" s="321">
        <f>$BB11*($BI$9)</f>
        <v>1568957.8467333333</v>
      </c>
      <c r="AE13" s="248"/>
      <c r="AF13" s="248"/>
      <c r="AG13" s="248"/>
      <c r="AH13" s="68"/>
      <c r="AI13" s="68"/>
      <c r="AJ13" s="68"/>
      <c r="AK13" s="321">
        <f>$BC11*($BJ$9)</f>
        <v>3059467.8011300014</v>
      </c>
      <c r="AL13" s="248"/>
      <c r="AM13" s="248"/>
      <c r="AN13" s="248"/>
      <c r="AO13" s="68"/>
      <c r="AP13" s="68"/>
      <c r="AQ13" s="68"/>
      <c r="AR13" s="321">
        <f>$BD11*($BK$9)</f>
        <v>5099113.0018833345</v>
      </c>
      <c r="AS13" s="248"/>
      <c r="AT13" s="248"/>
      <c r="AU13" s="248"/>
      <c r="AV13" s="248"/>
      <c r="AW13" s="248"/>
      <c r="AX13" s="248"/>
      <c r="AY13" s="321">
        <f>$BE11*($BL$9)</f>
        <v>7967364.0654427111</v>
      </c>
      <c r="AZ13" s="68"/>
      <c r="BA13" s="1041"/>
      <c r="BB13" s="1038"/>
      <c r="BC13" s="1038"/>
      <c r="BD13" s="1038"/>
      <c r="BE13" s="1038"/>
    </row>
    <row r="14" spans="1:64">
      <c r="B14" s="305" t="s">
        <v>95</v>
      </c>
      <c r="C14" s="313" t="s">
        <v>298</v>
      </c>
      <c r="D14" s="307" t="s">
        <v>297</v>
      </c>
      <c r="E14" s="308">
        <v>7</v>
      </c>
      <c r="F14" s="309"/>
      <c r="G14" s="309"/>
      <c r="H14" s="309">
        <v>334</v>
      </c>
      <c r="I14" s="310">
        <f t="shared" ref="I14:I54" si="5">J14/H14</f>
        <v>333.33041916167656</v>
      </c>
      <c r="J14" s="322">
        <v>111332.35999999997</v>
      </c>
      <c r="K14" s="310">
        <v>13</v>
      </c>
      <c r="L14" s="310"/>
      <c r="M14" s="310"/>
      <c r="N14" s="310">
        <v>585</v>
      </c>
      <c r="O14" s="310">
        <f t="shared" si="1"/>
        <v>1678.3986324786317</v>
      </c>
      <c r="P14" s="322">
        <v>981863.1999999996</v>
      </c>
      <c r="Q14" s="310">
        <v>9</v>
      </c>
      <c r="R14" s="310">
        <f t="shared" si="2"/>
        <v>9</v>
      </c>
      <c r="S14" s="1025"/>
      <c r="T14" s="310"/>
      <c r="U14" s="310">
        <v>281</v>
      </c>
      <c r="V14" s="310">
        <f t="shared" si="3"/>
        <v>733.4098576512456</v>
      </c>
      <c r="W14" s="322">
        <v>206088.17</v>
      </c>
      <c r="X14" s="310"/>
      <c r="Y14" s="310"/>
      <c r="Z14" s="310"/>
      <c r="AA14" s="307"/>
      <c r="AB14" s="307"/>
      <c r="AC14" s="307"/>
      <c r="AD14" s="322">
        <f>$BB11*($BI$10)</f>
        <v>1568957.8467333333</v>
      </c>
      <c r="AE14" s="310"/>
      <c r="AF14" s="310"/>
      <c r="AG14" s="310"/>
      <c r="AH14" s="307"/>
      <c r="AI14" s="307"/>
      <c r="AJ14" s="307"/>
      <c r="AK14" s="322">
        <f>$BC11*($BJ$10)</f>
        <v>3059467.8011300014</v>
      </c>
      <c r="AL14" s="310"/>
      <c r="AM14" s="310"/>
      <c r="AN14" s="310"/>
      <c r="AO14" s="307"/>
      <c r="AP14" s="307"/>
      <c r="AQ14" s="307"/>
      <c r="AR14" s="322">
        <f>$BD11*($BK$10)</f>
        <v>5099113.0018833345</v>
      </c>
      <c r="AS14" s="310"/>
      <c r="AT14" s="310"/>
      <c r="AU14" s="310"/>
      <c r="AV14" s="310"/>
      <c r="AW14" s="310"/>
      <c r="AX14" s="310"/>
      <c r="AY14" s="322">
        <f>$BE11*($BL$10)</f>
        <v>7967364.0654427111</v>
      </c>
      <c r="AZ14" s="68"/>
      <c r="BA14" s="1042"/>
      <c r="BB14" s="1039"/>
      <c r="BC14" s="1039"/>
      <c r="BD14" s="1039"/>
      <c r="BE14" s="1039"/>
    </row>
    <row r="15" spans="1:64">
      <c r="A15" s="161"/>
      <c r="B15" s="162" t="s">
        <v>95</v>
      </c>
      <c r="C15" s="161" t="s">
        <v>300</v>
      </c>
      <c r="D15" s="162" t="s">
        <v>294</v>
      </c>
      <c r="E15" s="292">
        <v>53</v>
      </c>
      <c r="F15" s="163"/>
      <c r="G15" s="163">
        <v>661920</v>
      </c>
      <c r="H15" s="163">
        <v>1644</v>
      </c>
      <c r="I15" s="164">
        <f t="shared" si="5"/>
        <v>11240.251569343067</v>
      </c>
      <c r="J15" s="321">
        <v>18478973.580000002</v>
      </c>
      <c r="K15" s="164">
        <v>38</v>
      </c>
      <c r="L15" s="164"/>
      <c r="M15" s="164">
        <v>724540</v>
      </c>
      <c r="N15" s="164">
        <v>1572</v>
      </c>
      <c r="O15" s="164">
        <f t="shared" si="1"/>
        <v>14317.022232824425</v>
      </c>
      <c r="P15" s="321">
        <v>22506358.949999996</v>
      </c>
      <c r="Q15" s="164">
        <v>57</v>
      </c>
      <c r="R15" s="164">
        <f t="shared" si="2"/>
        <v>57</v>
      </c>
      <c r="S15" s="1027">
        <f>VLOOKUP($C15,[3]Assum!$B$11:$G$22,2,FALSE)*HLOOKUP($B15,[3]Assum!$C$9:$G$10,2,FALSE)*S$55</f>
        <v>0</v>
      </c>
      <c r="T15" s="164">
        <v>1396960</v>
      </c>
      <c r="U15" s="164">
        <v>2648</v>
      </c>
      <c r="V15" s="164">
        <f t="shared" si="3"/>
        <v>10582.013119335348</v>
      </c>
      <c r="W15" s="321">
        <v>28021170.740000002</v>
      </c>
      <c r="X15" s="286">
        <f>Y15+Z15</f>
        <v>139.02499999999998</v>
      </c>
      <c r="Y15" s="286">
        <f>SUM(R15:R18)+(Y$56*[3]Assum!$C$37)</f>
        <v>136.22499999999997</v>
      </c>
      <c r="Z15" s="286">
        <f>S15+(Z$57*[3]Assum!$C$27)</f>
        <v>2.8000000000000003</v>
      </c>
      <c r="AA15" s="162"/>
      <c r="AB15" s="162"/>
      <c r="AC15" s="162"/>
      <c r="AD15" s="321">
        <f>$BB15*($BI$7)</f>
        <v>37017608.936000004</v>
      </c>
      <c r="AE15" s="286">
        <f>AF15+AG15</f>
        <v>166.52499999999998</v>
      </c>
      <c r="AF15" s="286">
        <f>Y15+(AF$56*[3]Assum!$D$37)</f>
        <v>160.72499999999997</v>
      </c>
      <c r="AG15" s="286">
        <f>Z15+(AG$57*[3]Assum!$D$27)</f>
        <v>5.8000000000000007</v>
      </c>
      <c r="AH15" s="162"/>
      <c r="AI15" s="162"/>
      <c r="AJ15" s="162"/>
      <c r="AK15" s="321">
        <f>$BC15*($BJ$7)</f>
        <v>45346570.946599998</v>
      </c>
      <c r="AL15" s="286">
        <f>AM15+AN15</f>
        <v>196.87499999999994</v>
      </c>
      <c r="AM15" s="286">
        <f>AF15+(AM$56*[3]Assum!$E$37)</f>
        <v>187.67499999999995</v>
      </c>
      <c r="AN15" s="286">
        <f>AG15+(AN$57*[3]Assum!$E$27)</f>
        <v>9.2000000000000011</v>
      </c>
      <c r="AO15" s="162"/>
      <c r="AP15" s="162"/>
      <c r="AQ15" s="162"/>
      <c r="AR15" s="321">
        <f>$BD15*($BK$7)</f>
        <v>54415885.135919996</v>
      </c>
      <c r="AS15" s="286">
        <f>AT15+AU15</f>
        <v>230.24999999999994</v>
      </c>
      <c r="AT15" s="286">
        <f>SUM(AM15:AM18)+(AT$56*[3]Assum!$F$37)</f>
        <v>217.24999999999994</v>
      </c>
      <c r="AU15" s="286">
        <f>AN15+(AU$57*[3]Assum!$E$27)</f>
        <v>13.000000000000002</v>
      </c>
      <c r="AV15" s="286"/>
      <c r="AW15" s="286"/>
      <c r="AX15" s="286"/>
      <c r="AY15" s="321">
        <f>$BE15*($BL$7)</f>
        <v>63485199.325239994</v>
      </c>
      <c r="AZ15" s="68"/>
      <c r="BA15" s="1040">
        <f>SUM(W15:W18)</f>
        <v>33051436.550000001</v>
      </c>
      <c r="BB15" s="1031">
        <f>BA15*(1+[3]Assum!C44)</f>
        <v>46272011.170000002</v>
      </c>
      <c r="BC15" s="1031">
        <f>BB15*(1+[3]Assum!D$44)</f>
        <v>64780815.637999997</v>
      </c>
      <c r="BD15" s="1031">
        <f>BC15*(1+[3]Assum!E$44)</f>
        <v>90693141.893199995</v>
      </c>
      <c r="BE15" s="1031">
        <f>BD15*(1+[3]Assum!F$44)</f>
        <v>126970398.65047999</v>
      </c>
    </row>
    <row r="16" spans="1:64">
      <c r="A16" s="161"/>
      <c r="B16" s="165" t="s">
        <v>95</v>
      </c>
      <c r="C16" s="170" t="s">
        <v>300</v>
      </c>
      <c r="D16" s="162" t="s">
        <v>295</v>
      </c>
      <c r="E16" s="292">
        <v>6</v>
      </c>
      <c r="F16" s="163"/>
      <c r="G16" s="163"/>
      <c r="H16" s="163">
        <v>7</v>
      </c>
      <c r="I16" s="164">
        <f t="shared" si="5"/>
        <v>5342.2985714285724</v>
      </c>
      <c r="J16" s="321">
        <v>37396.090000000004</v>
      </c>
      <c r="K16" s="164">
        <v>3</v>
      </c>
      <c r="L16" s="164"/>
      <c r="M16" s="164"/>
      <c r="N16" s="164">
        <v>6</v>
      </c>
      <c r="O16" s="164">
        <f t="shared" si="1"/>
        <v>58207.541666666664</v>
      </c>
      <c r="P16" s="321">
        <v>349245.25</v>
      </c>
      <c r="Q16" s="164">
        <v>9</v>
      </c>
      <c r="R16" s="164">
        <f t="shared" si="2"/>
        <v>9</v>
      </c>
      <c r="S16" s="1028"/>
      <c r="T16" s="164"/>
      <c r="U16" s="164">
        <v>19</v>
      </c>
      <c r="V16" s="164">
        <f t="shared" si="3"/>
        <v>84390.276842105261</v>
      </c>
      <c r="W16" s="321">
        <v>1603415.26</v>
      </c>
      <c r="X16" s="286"/>
      <c r="Y16" s="286"/>
      <c r="Z16" s="286"/>
      <c r="AA16" s="162"/>
      <c r="AB16" s="162"/>
      <c r="AC16" s="162"/>
      <c r="AD16" s="321">
        <f>$BB15*($BI$8)</f>
        <v>3084800.7446666663</v>
      </c>
      <c r="AE16" s="286"/>
      <c r="AF16" s="286"/>
      <c r="AG16" s="286"/>
      <c r="AH16" s="162"/>
      <c r="AI16" s="162"/>
      <c r="AJ16" s="162"/>
      <c r="AK16" s="321">
        <f>$BC15*($BJ$8)</f>
        <v>6478081.5638000006</v>
      </c>
      <c r="AL16" s="286"/>
      <c r="AM16" s="286"/>
      <c r="AN16" s="286"/>
      <c r="AO16" s="162"/>
      <c r="AP16" s="162"/>
      <c r="AQ16" s="162"/>
      <c r="AR16" s="321">
        <f>$BD15*($BK$8)</f>
        <v>12092418.919093333</v>
      </c>
      <c r="AS16" s="286"/>
      <c r="AT16" s="286"/>
      <c r="AU16" s="286"/>
      <c r="AV16" s="286"/>
      <c r="AW16" s="286"/>
      <c r="AX16" s="286"/>
      <c r="AY16" s="321">
        <f>$BE15*($BL$8)</f>
        <v>21161733.108413331</v>
      </c>
      <c r="AZ16" s="68"/>
      <c r="BA16" s="1041"/>
      <c r="BB16" s="1032"/>
      <c r="BC16" s="1032"/>
      <c r="BD16" s="1032"/>
      <c r="BE16" s="1032"/>
    </row>
    <row r="17" spans="1:57">
      <c r="A17" s="161"/>
      <c r="B17" s="165" t="s">
        <v>95</v>
      </c>
      <c r="C17" s="170" t="s">
        <v>300</v>
      </c>
      <c r="D17" s="162" t="s">
        <v>296</v>
      </c>
      <c r="E17" s="292">
        <v>8</v>
      </c>
      <c r="F17" s="163"/>
      <c r="G17" s="163"/>
      <c r="H17" s="163">
        <v>172</v>
      </c>
      <c r="I17" s="164">
        <f t="shared" si="5"/>
        <v>4692.9722093023265</v>
      </c>
      <c r="J17" s="321">
        <v>807191.2200000002</v>
      </c>
      <c r="K17" s="164">
        <v>12</v>
      </c>
      <c r="L17" s="164"/>
      <c r="M17" s="164"/>
      <c r="N17" s="164">
        <v>20</v>
      </c>
      <c r="O17" s="164">
        <f t="shared" si="1"/>
        <v>49094.361000000004</v>
      </c>
      <c r="P17" s="321">
        <v>981887.22000000009</v>
      </c>
      <c r="Q17" s="164">
        <v>19</v>
      </c>
      <c r="R17" s="164">
        <f t="shared" si="2"/>
        <v>19</v>
      </c>
      <c r="S17" s="1028"/>
      <c r="T17" s="164"/>
      <c r="U17" s="164">
        <v>79</v>
      </c>
      <c r="V17" s="164">
        <f t="shared" si="3"/>
        <v>32216.044556962024</v>
      </c>
      <c r="W17" s="321">
        <v>2545067.52</v>
      </c>
      <c r="X17" s="286"/>
      <c r="Y17" s="286"/>
      <c r="Z17" s="286"/>
      <c r="AA17" s="162"/>
      <c r="AB17" s="162"/>
      <c r="AC17" s="162"/>
      <c r="AD17" s="321">
        <f>$BB15*($BI$9)</f>
        <v>3084800.7446666663</v>
      </c>
      <c r="AE17" s="286"/>
      <c r="AF17" s="286"/>
      <c r="AG17" s="286"/>
      <c r="AH17" s="162"/>
      <c r="AI17" s="162"/>
      <c r="AJ17" s="162"/>
      <c r="AK17" s="321">
        <f>$BC15*($BJ$9)</f>
        <v>6478081.5638000006</v>
      </c>
      <c r="AL17" s="286"/>
      <c r="AM17" s="286"/>
      <c r="AN17" s="286"/>
      <c r="AO17" s="162"/>
      <c r="AP17" s="162"/>
      <c r="AQ17" s="162"/>
      <c r="AR17" s="321">
        <f>$BD15*($BK$9)</f>
        <v>12092418.919093333</v>
      </c>
      <c r="AS17" s="286"/>
      <c r="AT17" s="286"/>
      <c r="AU17" s="286"/>
      <c r="AV17" s="286"/>
      <c r="AW17" s="286"/>
      <c r="AX17" s="286"/>
      <c r="AY17" s="321">
        <f>$BE15*($BL$9)</f>
        <v>21161733.108413331</v>
      </c>
      <c r="AZ17" s="68"/>
      <c r="BA17" s="1041"/>
      <c r="BB17" s="1032"/>
      <c r="BC17" s="1032"/>
      <c r="BD17" s="1032"/>
      <c r="BE17" s="1032"/>
    </row>
    <row r="18" spans="1:57">
      <c r="A18" s="161"/>
      <c r="B18" s="184" t="s">
        <v>95</v>
      </c>
      <c r="C18" s="185" t="s">
        <v>300</v>
      </c>
      <c r="D18" s="186" t="s">
        <v>297</v>
      </c>
      <c r="E18" s="293">
        <v>68</v>
      </c>
      <c r="F18" s="187"/>
      <c r="G18" s="187"/>
      <c r="H18" s="187">
        <v>6492</v>
      </c>
      <c r="I18" s="164">
        <f t="shared" si="5"/>
        <v>256.07677295132493</v>
      </c>
      <c r="J18" s="322">
        <v>1662450.4100000015</v>
      </c>
      <c r="K18" s="188">
        <v>63</v>
      </c>
      <c r="L18" s="188"/>
      <c r="M18" s="188"/>
      <c r="N18" s="188">
        <v>6496</v>
      </c>
      <c r="O18" s="164">
        <f t="shared" si="1"/>
        <v>421.62650092364584</v>
      </c>
      <c r="P18" s="322">
        <v>2738885.7500000033</v>
      </c>
      <c r="Q18" s="188">
        <v>29</v>
      </c>
      <c r="R18" s="188">
        <f t="shared" si="2"/>
        <v>29</v>
      </c>
      <c r="S18" s="1029"/>
      <c r="T18" s="188"/>
      <c r="U18" s="188">
        <v>3972</v>
      </c>
      <c r="V18" s="188">
        <f t="shared" si="3"/>
        <v>221.99975579053344</v>
      </c>
      <c r="W18" s="322">
        <v>881783.02999999886</v>
      </c>
      <c r="X18" s="188"/>
      <c r="Y18" s="188"/>
      <c r="Z18" s="188"/>
      <c r="AA18" s="186"/>
      <c r="AB18" s="186"/>
      <c r="AC18" s="186"/>
      <c r="AD18" s="322">
        <f>$BB15*($BI$10)</f>
        <v>3084800.7446666663</v>
      </c>
      <c r="AE18" s="188"/>
      <c r="AF18" s="188"/>
      <c r="AG18" s="188"/>
      <c r="AH18" s="186"/>
      <c r="AI18" s="186"/>
      <c r="AJ18" s="186"/>
      <c r="AK18" s="322">
        <f>$BC15*($BJ$10)</f>
        <v>6478081.5638000006</v>
      </c>
      <c r="AL18" s="188"/>
      <c r="AM18" s="188"/>
      <c r="AN18" s="188"/>
      <c r="AO18" s="186"/>
      <c r="AP18" s="186"/>
      <c r="AQ18" s="186"/>
      <c r="AR18" s="322">
        <f>$BD15*($BK$10)</f>
        <v>12092418.919093333</v>
      </c>
      <c r="AS18" s="188"/>
      <c r="AT18" s="188"/>
      <c r="AU18" s="188"/>
      <c r="AV18" s="188"/>
      <c r="AW18" s="188"/>
      <c r="AX18" s="188"/>
      <c r="AY18" s="322">
        <f>$BE15*($BL$10)</f>
        <v>21161733.108413331</v>
      </c>
      <c r="AZ18" s="68"/>
      <c r="BA18" s="1042"/>
      <c r="BB18" s="1033"/>
      <c r="BC18" s="1033"/>
      <c r="BD18" s="1033"/>
      <c r="BE18" s="1033"/>
    </row>
    <row r="19" spans="1:57">
      <c r="B19" s="68" t="s">
        <v>301</v>
      </c>
      <c r="C19" s="149" t="s">
        <v>302</v>
      </c>
      <c r="D19" s="68" t="s">
        <v>294</v>
      </c>
      <c r="E19" s="290">
        <v>43</v>
      </c>
      <c r="F19" s="157"/>
      <c r="G19" s="157">
        <v>1034500</v>
      </c>
      <c r="H19" s="157">
        <v>2780</v>
      </c>
      <c r="I19" s="158">
        <f t="shared" si="5"/>
        <v>10302.955287769786</v>
      </c>
      <c r="J19" s="321">
        <v>28642215.700000003</v>
      </c>
      <c r="K19" s="158">
        <v>31</v>
      </c>
      <c r="L19" s="158"/>
      <c r="M19" s="158">
        <v>758625</v>
      </c>
      <c r="N19" s="158">
        <v>1619</v>
      </c>
      <c r="O19" s="158">
        <f t="shared" si="1"/>
        <v>14195.142186534898</v>
      </c>
      <c r="P19" s="321">
        <v>22981935.199999999</v>
      </c>
      <c r="Q19" s="158">
        <v>56</v>
      </c>
      <c r="R19" s="158">
        <f t="shared" si="2"/>
        <v>38.96</v>
      </c>
      <c r="S19" s="1026">
        <f>VLOOKUP($C19,[3]Assum!$B$11:$G$22,3,FALSE)*HLOOKUP($B19,[3]Assum!$C$9:$G$10,2,FALSE)*S$55</f>
        <v>17.04</v>
      </c>
      <c r="T19" s="158">
        <v>5114125</v>
      </c>
      <c r="U19" s="158">
        <v>9883</v>
      </c>
      <c r="V19" s="158">
        <f t="shared" si="3"/>
        <v>10013.149524435899</v>
      </c>
      <c r="W19" s="321">
        <v>98959956.75</v>
      </c>
      <c r="X19" s="248">
        <f>Y19+Z19</f>
        <v>117.1125</v>
      </c>
      <c r="Y19" s="248">
        <f>SUM(R19:R22)+(Y$56*[3]Assum!$C$38)</f>
        <v>99.722499999999997</v>
      </c>
      <c r="Z19" s="248">
        <f>S19+(Z$57*[3]Assum!$C$28)</f>
        <v>17.39</v>
      </c>
      <c r="AA19" s="68"/>
      <c r="AB19" s="68"/>
      <c r="AC19" s="68"/>
      <c r="AD19" s="321">
        <f>$BB19*($BI$7)</f>
        <v>107071557.48640002</v>
      </c>
      <c r="AE19" s="248">
        <f>AF19+AG19</f>
        <v>122.7375</v>
      </c>
      <c r="AF19" s="248">
        <f>Y19+(AF$56*[3]Assum!$D$38)</f>
        <v>104.9725</v>
      </c>
      <c r="AG19" s="248">
        <f>Z19+(AG$57*[3]Assum!$D$28)</f>
        <v>17.765000000000001</v>
      </c>
      <c r="AH19" s="68"/>
      <c r="AI19" s="68"/>
      <c r="AJ19" s="68"/>
      <c r="AK19" s="321">
        <f>$BC19*($BJ$7)</f>
        <v>121793896.64078002</v>
      </c>
      <c r="AL19" s="248">
        <f>AM19+AN19</f>
        <v>128.9375</v>
      </c>
      <c r="AM19" s="248">
        <f>AF19+(AM$56*[3]Assum!$E$38)</f>
        <v>110.7475</v>
      </c>
      <c r="AN19" s="248">
        <f>AG19+(AN$57*[3]Assum!$E$28)</f>
        <v>18.190000000000001</v>
      </c>
      <c r="AO19" s="68"/>
      <c r="AP19" s="68"/>
      <c r="AQ19" s="68"/>
      <c r="AR19" s="321">
        <f>$BD19*($BK$7)</f>
        <v>130493460.68655002</v>
      </c>
      <c r="AS19" s="248">
        <f>AT19+AU19</f>
        <v>135.75</v>
      </c>
      <c r="AT19" s="248">
        <f>AM19+(AT$56*[3]Assum!$F$38)</f>
        <v>117.08500000000001</v>
      </c>
      <c r="AU19" s="248">
        <f>AN19+(AU$57*[3]Assum!$E$28)</f>
        <v>18.665000000000003</v>
      </c>
      <c r="AV19" s="248"/>
      <c r="AW19" s="248"/>
      <c r="AX19" s="248"/>
      <c r="AY19" s="321">
        <f>$BE19*($BL$7)</f>
        <v>135930688.21515626</v>
      </c>
      <c r="AZ19" s="68"/>
      <c r="BA19" s="1040">
        <f>SUM(W19:W22)</f>
        <v>102953420.66000001</v>
      </c>
      <c r="BB19" s="1034">
        <f>BA19*(1+[3]Assum!C$45)</f>
        <v>133839446.85800003</v>
      </c>
      <c r="BC19" s="1034">
        <f>BB19*(1+[3]Assum!D$45)</f>
        <v>173991280.91540003</v>
      </c>
      <c r="BD19" s="1034">
        <f>BC19*(1+[3]Assum!E$45)</f>
        <v>217489101.14425004</v>
      </c>
      <c r="BE19" s="1034">
        <f>BD19*(1+[3]Assum!F$45)</f>
        <v>271861376.43031251</v>
      </c>
    </row>
    <row r="20" spans="1:57">
      <c r="B20" s="303" t="s">
        <v>301</v>
      </c>
      <c r="C20" s="304" t="s">
        <v>302</v>
      </c>
      <c r="D20" s="68" t="s">
        <v>295</v>
      </c>
      <c r="E20" s="290">
        <v>9</v>
      </c>
      <c r="F20" s="157"/>
      <c r="G20" s="157"/>
      <c r="H20" s="157">
        <v>22</v>
      </c>
      <c r="I20" s="158">
        <f t="shared" si="5"/>
        <v>2850.5409090909097</v>
      </c>
      <c r="J20" s="321">
        <v>62711.900000000016</v>
      </c>
      <c r="K20" s="158">
        <v>3</v>
      </c>
      <c r="L20" s="158"/>
      <c r="M20" s="158"/>
      <c r="N20" s="158">
        <v>4</v>
      </c>
      <c r="O20" s="158">
        <f t="shared" si="1"/>
        <v>33854.7425</v>
      </c>
      <c r="P20" s="321">
        <v>135418.97</v>
      </c>
      <c r="Q20" s="158">
        <v>2</v>
      </c>
      <c r="R20" s="248">
        <f t="shared" si="2"/>
        <v>2</v>
      </c>
      <c r="S20" s="1024"/>
      <c r="T20" s="158"/>
      <c r="U20" s="158">
        <v>3</v>
      </c>
      <c r="V20" s="158">
        <f t="shared" si="3"/>
        <v>93514.123333333337</v>
      </c>
      <c r="W20" s="321">
        <v>280542.37</v>
      </c>
      <c r="X20" s="248"/>
      <c r="Y20" s="248"/>
      <c r="Z20" s="248"/>
      <c r="AA20" s="68"/>
      <c r="AB20" s="68"/>
      <c r="AC20" s="68"/>
      <c r="AD20" s="321">
        <f>$BB$19*($BI$8)</f>
        <v>8922629.7905333322</v>
      </c>
      <c r="AE20" s="248"/>
      <c r="AF20" s="248"/>
      <c r="AG20" s="248"/>
      <c r="AH20" s="68"/>
      <c r="AI20" s="68"/>
      <c r="AJ20" s="68"/>
      <c r="AK20" s="321">
        <f>$BC$19*($BJ$8)</f>
        <v>17399128.091540005</v>
      </c>
      <c r="AL20" s="248"/>
      <c r="AM20" s="248"/>
      <c r="AN20" s="248"/>
      <c r="AO20" s="68"/>
      <c r="AP20" s="68"/>
      <c r="AQ20" s="68"/>
      <c r="AR20" s="321">
        <f>$BD$19*($BK$8)</f>
        <v>28998546.819233339</v>
      </c>
      <c r="AS20" s="248"/>
      <c r="AT20" s="248"/>
      <c r="AU20" s="248"/>
      <c r="AV20" s="248"/>
      <c r="AW20" s="248"/>
      <c r="AX20" s="248"/>
      <c r="AY20" s="321">
        <f>$BE$19*($BL$8)</f>
        <v>45310229.405052081</v>
      </c>
      <c r="AZ20" s="68"/>
      <c r="BA20" s="1041"/>
      <c r="BB20" s="1035"/>
      <c r="BC20" s="1035"/>
      <c r="BD20" s="1035"/>
      <c r="BE20" s="1035"/>
    </row>
    <row r="21" spans="1:57">
      <c r="B21" s="303" t="s">
        <v>301</v>
      </c>
      <c r="C21" s="304" t="s">
        <v>302</v>
      </c>
      <c r="D21" s="68" t="s">
        <v>296</v>
      </c>
      <c r="E21" s="290">
        <v>16</v>
      </c>
      <c r="F21" s="157"/>
      <c r="G21" s="157"/>
      <c r="H21" s="157">
        <v>330</v>
      </c>
      <c r="I21" s="158">
        <f t="shared" si="5"/>
        <v>5387.401636363632</v>
      </c>
      <c r="J21" s="321">
        <v>1777842.5399999984</v>
      </c>
      <c r="K21" s="158">
        <v>19</v>
      </c>
      <c r="L21" s="158"/>
      <c r="M21" s="158"/>
      <c r="N21" s="158">
        <v>74</v>
      </c>
      <c r="O21" s="158">
        <f t="shared" si="1"/>
        <v>18108.34121621622</v>
      </c>
      <c r="P21" s="321">
        <v>1340017.2500000002</v>
      </c>
      <c r="Q21" s="158">
        <v>12</v>
      </c>
      <c r="R21" s="248">
        <f t="shared" si="2"/>
        <v>12</v>
      </c>
      <c r="S21" s="1024"/>
      <c r="T21" s="158"/>
      <c r="U21" s="158">
        <v>120</v>
      </c>
      <c r="V21" s="158">
        <f t="shared" si="3"/>
        <v>28829.142583333338</v>
      </c>
      <c r="W21" s="321">
        <v>3459497.1100000003</v>
      </c>
      <c r="X21" s="248"/>
      <c r="Y21" s="248"/>
      <c r="Z21" s="248"/>
      <c r="AA21" s="68"/>
      <c r="AB21" s="68"/>
      <c r="AC21" s="68"/>
      <c r="AD21" s="321">
        <f>$BB$19*($BI$9)</f>
        <v>8922629.7905333322</v>
      </c>
      <c r="AE21" s="248"/>
      <c r="AF21" s="248"/>
      <c r="AG21" s="248"/>
      <c r="AH21" s="68"/>
      <c r="AI21" s="68"/>
      <c r="AJ21" s="68"/>
      <c r="AK21" s="321">
        <f>$BC$19*($BJ$9)</f>
        <v>17399128.091540005</v>
      </c>
      <c r="AL21" s="248"/>
      <c r="AM21" s="248"/>
      <c r="AN21" s="248"/>
      <c r="AO21" s="68"/>
      <c r="AP21" s="68"/>
      <c r="AQ21" s="68"/>
      <c r="AR21" s="321">
        <f>$BD$19*($BK$9)</f>
        <v>28998546.819233339</v>
      </c>
      <c r="AS21" s="248"/>
      <c r="AT21" s="248"/>
      <c r="AU21" s="248"/>
      <c r="AV21" s="248"/>
      <c r="AW21" s="248"/>
      <c r="AX21" s="248"/>
      <c r="AY21" s="321">
        <f>$BE$19*($BL$9)</f>
        <v>45310229.405052081</v>
      </c>
      <c r="AZ21" s="68"/>
      <c r="BA21" s="1041"/>
      <c r="BB21" s="1035"/>
      <c r="BC21" s="1035"/>
      <c r="BD21" s="1035"/>
      <c r="BE21" s="1035"/>
    </row>
    <row r="22" spans="1:57">
      <c r="B22" s="305" t="s">
        <v>301</v>
      </c>
      <c r="C22" s="306" t="s">
        <v>302</v>
      </c>
      <c r="D22" s="307" t="s">
        <v>297</v>
      </c>
      <c r="E22" s="308">
        <v>67</v>
      </c>
      <c r="F22" s="309"/>
      <c r="G22" s="309"/>
      <c r="H22" s="309">
        <v>8663</v>
      </c>
      <c r="I22" s="310">
        <f t="shared" si="5"/>
        <v>244.1176774789335</v>
      </c>
      <c r="J22" s="322">
        <v>2114791.4400000009</v>
      </c>
      <c r="K22" s="310">
        <v>45</v>
      </c>
      <c r="L22" s="310"/>
      <c r="M22" s="310"/>
      <c r="N22" s="310">
        <v>2630</v>
      </c>
      <c r="O22" s="310">
        <f t="shared" si="1"/>
        <v>242.08104182509524</v>
      </c>
      <c r="P22" s="322">
        <v>636673.14000000048</v>
      </c>
      <c r="Q22" s="310">
        <v>42</v>
      </c>
      <c r="R22" s="310">
        <f t="shared" si="2"/>
        <v>42</v>
      </c>
      <c r="S22" s="1025"/>
      <c r="T22" s="310"/>
      <c r="U22" s="310">
        <v>1091</v>
      </c>
      <c r="V22" s="310">
        <f t="shared" si="3"/>
        <v>232.28637030247467</v>
      </c>
      <c r="W22" s="322">
        <v>253424.42999999985</v>
      </c>
      <c r="X22" s="310"/>
      <c r="Y22" s="310"/>
      <c r="Z22" s="310"/>
      <c r="AA22" s="307"/>
      <c r="AB22" s="307"/>
      <c r="AC22" s="307"/>
      <c r="AD22" s="322">
        <f>$BB$19*($BI$10)</f>
        <v>8922629.7905333322</v>
      </c>
      <c r="AE22" s="310"/>
      <c r="AF22" s="310"/>
      <c r="AG22" s="310"/>
      <c r="AH22" s="307"/>
      <c r="AI22" s="307"/>
      <c r="AJ22" s="307"/>
      <c r="AK22" s="322">
        <f>$BC$19*($BJ$10)</f>
        <v>17399128.091540005</v>
      </c>
      <c r="AL22" s="310"/>
      <c r="AM22" s="310"/>
      <c r="AN22" s="310"/>
      <c r="AO22" s="307"/>
      <c r="AP22" s="307"/>
      <c r="AQ22" s="307"/>
      <c r="AR22" s="322">
        <f>$BD$19*($BK$10)</f>
        <v>28998546.819233339</v>
      </c>
      <c r="AS22" s="310"/>
      <c r="AT22" s="310"/>
      <c r="AU22" s="310"/>
      <c r="AV22" s="310"/>
      <c r="AW22" s="310"/>
      <c r="AX22" s="310"/>
      <c r="AY22" s="322">
        <f>$BE$19*($BL$10)</f>
        <v>45310229.405052081</v>
      </c>
      <c r="AZ22" s="68"/>
      <c r="BA22" s="1042"/>
      <c r="BB22" s="1036"/>
      <c r="BC22" s="1036"/>
      <c r="BD22" s="1036"/>
      <c r="BE22" s="1036"/>
    </row>
    <row r="23" spans="1:57">
      <c r="B23" s="281" t="s">
        <v>301</v>
      </c>
      <c r="C23" s="282" t="s">
        <v>303</v>
      </c>
      <c r="D23" s="281" t="s">
        <v>294</v>
      </c>
      <c r="E23" s="291">
        <v>14</v>
      </c>
      <c r="F23" s="182"/>
      <c r="G23" s="182">
        <v>403740</v>
      </c>
      <c r="H23" s="182">
        <v>993</v>
      </c>
      <c r="I23" s="183">
        <f t="shared" si="5"/>
        <v>11322.605891238669</v>
      </c>
      <c r="J23" s="323">
        <v>11243347.649999999</v>
      </c>
      <c r="K23" s="183">
        <v>9</v>
      </c>
      <c r="L23" s="183"/>
      <c r="M23" s="183">
        <v>72110</v>
      </c>
      <c r="N23" s="183">
        <v>200</v>
      </c>
      <c r="O23" s="183">
        <f t="shared" si="1"/>
        <v>11133.42375</v>
      </c>
      <c r="P23" s="323">
        <v>2226684.75</v>
      </c>
      <c r="Q23" s="183">
        <v>13</v>
      </c>
      <c r="R23" s="183">
        <f t="shared" si="2"/>
        <v>7.3199999999999985</v>
      </c>
      <c r="S23" s="1026">
        <f>VLOOKUP($C23,[3]Assum!$B$11:$G$22,3,FALSE)*HLOOKUP($B23,[3]Assum!$C$9:$G$10,2,FALSE)*S$55</f>
        <v>5.6800000000000015</v>
      </c>
      <c r="T23" s="183">
        <v>1059215</v>
      </c>
      <c r="U23" s="183">
        <v>1911</v>
      </c>
      <c r="V23" s="183">
        <f t="shared" si="3"/>
        <v>10802.012632129776</v>
      </c>
      <c r="W23" s="323">
        <v>20642646.140000001</v>
      </c>
      <c r="X23" s="183">
        <f>Y23+Z23</f>
        <v>46.112499999999997</v>
      </c>
      <c r="Y23" s="183">
        <f>SUM(R23:R26)+(Y$56*[3]Assum!$C$38)</f>
        <v>40.082499999999996</v>
      </c>
      <c r="Z23" s="183">
        <f>S23+(Z$57*[3]Assum!$C$28)</f>
        <v>6.0300000000000011</v>
      </c>
      <c r="AA23" s="281"/>
      <c r="AB23" s="281"/>
      <c r="AC23" s="281"/>
      <c r="AD23" s="323">
        <f>$BB23*($BI$7)</f>
        <v>25284514.6424</v>
      </c>
      <c r="AE23" s="183">
        <f>AF23+AG23</f>
        <v>51.737499999999997</v>
      </c>
      <c r="AF23" s="183">
        <f>Y23+(AF$56*[3]Assum!$D$38)</f>
        <v>45.332499999999996</v>
      </c>
      <c r="AG23" s="183">
        <f>Z23+(AG$57*[3]Assum!$D$28)</f>
        <v>6.4050000000000011</v>
      </c>
      <c r="AH23" s="281"/>
      <c r="AI23" s="281"/>
      <c r="AJ23" s="281"/>
      <c r="AK23" s="323">
        <f>$BC23*($BJ$7)</f>
        <v>28761135.405729998</v>
      </c>
      <c r="AL23" s="183">
        <f>AM23+AN23</f>
        <v>57.937499999999993</v>
      </c>
      <c r="AM23" s="183">
        <f>AF23+(AM$56*[3]Assum!$E$38)</f>
        <v>51.107499999999995</v>
      </c>
      <c r="AN23" s="183">
        <f>AG23+(AN$57*[3]Assum!$E$28)</f>
        <v>6.830000000000001</v>
      </c>
      <c r="AO23" s="281"/>
      <c r="AP23" s="281"/>
      <c r="AQ23" s="281"/>
      <c r="AR23" s="323">
        <f>$BD23*($BK$7)</f>
        <v>30815502.220424999</v>
      </c>
      <c r="AS23" s="183">
        <f>AT23+AU23</f>
        <v>64.75</v>
      </c>
      <c r="AT23" s="183">
        <f>AM23+(AT$56*[3]Assum!$F$38)</f>
        <v>57.444999999999993</v>
      </c>
      <c r="AU23" s="183">
        <f>AN23+(AU$57*[3]Assum!$E$28)</f>
        <v>7.3050000000000006</v>
      </c>
      <c r="AV23" s="183"/>
      <c r="AW23" s="183"/>
      <c r="AX23" s="183"/>
      <c r="AY23" s="323">
        <f>$BE23*($BL$7)</f>
        <v>32099481.479609378</v>
      </c>
      <c r="AZ23" s="68"/>
      <c r="BA23" s="1040">
        <f>SUM(W23:W26)</f>
        <v>24312033.309999999</v>
      </c>
      <c r="BB23" s="1037">
        <f>BA23*(1+[3]Assum!C$46)</f>
        <v>31605643.302999999</v>
      </c>
      <c r="BC23" s="1037">
        <f>BB23*(1+[3]Assum!D$46)</f>
        <v>41087336.293899998</v>
      </c>
      <c r="BD23" s="1037">
        <f>BC23*(1+[3]Assum!E$46)</f>
        <v>51359170.367375001</v>
      </c>
      <c r="BE23" s="1037">
        <f>BD23*(1+[3]Assum!F$46)</f>
        <v>64198962.959218755</v>
      </c>
    </row>
    <row r="24" spans="1:57">
      <c r="B24" s="303" t="s">
        <v>301</v>
      </c>
      <c r="C24" s="312" t="s">
        <v>303</v>
      </c>
      <c r="D24" s="68" t="s">
        <v>295</v>
      </c>
      <c r="E24" s="290">
        <v>4</v>
      </c>
      <c r="F24" s="157"/>
      <c r="G24" s="157"/>
      <c r="H24" s="157">
        <v>10</v>
      </c>
      <c r="I24" s="158">
        <f t="shared" si="5"/>
        <v>2573.8619999999996</v>
      </c>
      <c r="J24" s="321">
        <v>25738.619999999995</v>
      </c>
      <c r="K24" s="158">
        <v>2</v>
      </c>
      <c r="L24" s="158"/>
      <c r="M24" s="158"/>
      <c r="N24" s="158">
        <v>6</v>
      </c>
      <c r="O24" s="158">
        <f t="shared" si="1"/>
        <v>10913.49</v>
      </c>
      <c r="P24" s="321">
        <v>65480.94</v>
      </c>
      <c r="Q24" s="158">
        <v>3</v>
      </c>
      <c r="R24" s="248">
        <f t="shared" si="2"/>
        <v>3</v>
      </c>
      <c r="S24" s="1024"/>
      <c r="T24" s="158"/>
      <c r="U24" s="158">
        <v>3</v>
      </c>
      <c r="V24" s="158">
        <f t="shared" si="3"/>
        <v>104084.74666666666</v>
      </c>
      <c r="W24" s="321">
        <v>312254.24</v>
      </c>
      <c r="X24" s="248"/>
      <c r="Y24" s="248"/>
      <c r="Z24" s="248"/>
      <c r="AA24" s="68"/>
      <c r="AB24" s="68"/>
      <c r="AC24" s="68"/>
      <c r="AD24" s="321">
        <f>$BB$23*($BI$8)</f>
        <v>2107042.8868666664</v>
      </c>
      <c r="AE24" s="248"/>
      <c r="AF24" s="248"/>
      <c r="AG24" s="248"/>
      <c r="AH24" s="68"/>
      <c r="AI24" s="68"/>
      <c r="AJ24" s="68"/>
      <c r="AK24" s="321">
        <f>$BC$23*($BJ$8)</f>
        <v>4108733.6293900008</v>
      </c>
      <c r="AL24" s="248"/>
      <c r="AM24" s="248"/>
      <c r="AN24" s="248"/>
      <c r="AO24" s="68"/>
      <c r="AP24" s="68"/>
      <c r="AQ24" s="68"/>
      <c r="AR24" s="321">
        <f>$BD$23*($BK$8)</f>
        <v>6847889.3823166667</v>
      </c>
      <c r="AS24" s="248"/>
      <c r="AT24" s="248"/>
      <c r="AU24" s="248"/>
      <c r="AV24" s="248"/>
      <c r="AW24" s="248"/>
      <c r="AX24" s="248"/>
      <c r="AY24" s="321">
        <f>$BE$23*($BL$8)</f>
        <v>10699827.159869792</v>
      </c>
      <c r="AZ24" s="68"/>
      <c r="BA24" s="1041"/>
      <c r="BB24" s="1038"/>
      <c r="BC24" s="1038"/>
      <c r="BD24" s="1038"/>
      <c r="BE24" s="1038"/>
    </row>
    <row r="25" spans="1:57">
      <c r="B25" s="303" t="s">
        <v>301</v>
      </c>
      <c r="C25" s="312" t="s">
        <v>303</v>
      </c>
      <c r="D25" s="68" t="s">
        <v>296</v>
      </c>
      <c r="E25" s="290">
        <v>5</v>
      </c>
      <c r="F25" s="157"/>
      <c r="G25" s="157"/>
      <c r="H25" s="157">
        <v>14</v>
      </c>
      <c r="I25" s="157">
        <f t="shared" si="5"/>
        <v>8358.3521428571421</v>
      </c>
      <c r="J25" s="321">
        <v>117016.92999999998</v>
      </c>
      <c r="K25" s="158">
        <v>5</v>
      </c>
      <c r="L25" s="158"/>
      <c r="M25" s="158"/>
      <c r="N25" s="158">
        <v>39</v>
      </c>
      <c r="O25" s="158">
        <f t="shared" si="1"/>
        <v>14569.358974358971</v>
      </c>
      <c r="P25" s="321">
        <v>568204.99999999988</v>
      </c>
      <c r="Q25" s="158">
        <v>10</v>
      </c>
      <c r="R25" s="248">
        <f t="shared" si="2"/>
        <v>10</v>
      </c>
      <c r="S25" s="1024"/>
      <c r="T25" s="158"/>
      <c r="U25" s="158">
        <v>95</v>
      </c>
      <c r="V25" s="158">
        <f t="shared" si="3"/>
        <v>33246.345999999998</v>
      </c>
      <c r="W25" s="321">
        <v>3158402.87</v>
      </c>
      <c r="X25" s="248"/>
      <c r="Y25" s="248"/>
      <c r="Z25" s="248"/>
      <c r="AA25" s="68"/>
      <c r="AB25" s="68"/>
      <c r="AC25" s="68"/>
      <c r="AD25" s="321">
        <f>$BB$23*($BI$9)</f>
        <v>2107042.8868666664</v>
      </c>
      <c r="AE25" s="248"/>
      <c r="AF25" s="248"/>
      <c r="AG25" s="248"/>
      <c r="AH25" s="68"/>
      <c r="AI25" s="68"/>
      <c r="AJ25" s="68"/>
      <c r="AK25" s="321">
        <f>$BC$23*($BJ$9)</f>
        <v>4108733.6293900008</v>
      </c>
      <c r="AL25" s="248"/>
      <c r="AM25" s="248"/>
      <c r="AN25" s="248"/>
      <c r="AO25" s="68"/>
      <c r="AP25" s="68"/>
      <c r="AQ25" s="68"/>
      <c r="AR25" s="321">
        <f>$BD$23*($BK$9)</f>
        <v>6847889.3823166667</v>
      </c>
      <c r="AS25" s="248"/>
      <c r="AT25" s="248"/>
      <c r="AU25" s="248"/>
      <c r="AV25" s="248"/>
      <c r="AW25" s="248"/>
      <c r="AX25" s="248"/>
      <c r="AY25" s="321">
        <f>$BE$23*($BL$9)</f>
        <v>10699827.159869792</v>
      </c>
      <c r="AZ25" s="68"/>
      <c r="BA25" s="1041"/>
      <c r="BB25" s="1038"/>
      <c r="BC25" s="1038"/>
      <c r="BD25" s="1038"/>
      <c r="BE25" s="1038"/>
    </row>
    <row r="26" spans="1:57">
      <c r="B26" s="305" t="s">
        <v>301</v>
      </c>
      <c r="C26" s="313" t="s">
        <v>303</v>
      </c>
      <c r="D26" s="307" t="s">
        <v>297</v>
      </c>
      <c r="E26" s="308">
        <v>29</v>
      </c>
      <c r="F26" s="309"/>
      <c r="G26" s="309"/>
      <c r="H26" s="309">
        <v>4894</v>
      </c>
      <c r="I26" s="310">
        <f t="shared" si="5"/>
        <v>344.2890539436047</v>
      </c>
      <c r="J26" s="322">
        <v>1684950.6300000015</v>
      </c>
      <c r="K26" s="310">
        <v>19</v>
      </c>
      <c r="L26" s="310"/>
      <c r="M26" s="310"/>
      <c r="N26" s="310">
        <v>97</v>
      </c>
      <c r="O26" s="310">
        <f t="shared" si="1"/>
        <v>1280.1873195876283</v>
      </c>
      <c r="P26" s="322">
        <v>124178.16999999994</v>
      </c>
      <c r="Q26" s="310">
        <v>15</v>
      </c>
      <c r="R26" s="310">
        <f t="shared" si="2"/>
        <v>15</v>
      </c>
      <c r="S26" s="1025"/>
      <c r="T26" s="310"/>
      <c r="U26" s="310">
        <v>417</v>
      </c>
      <c r="V26" s="310">
        <f t="shared" si="3"/>
        <v>476.5708872901676</v>
      </c>
      <c r="W26" s="322">
        <v>198730.05999999988</v>
      </c>
      <c r="X26" s="310"/>
      <c r="Y26" s="310"/>
      <c r="Z26" s="310"/>
      <c r="AA26" s="307"/>
      <c r="AB26" s="307"/>
      <c r="AC26" s="307"/>
      <c r="AD26" s="322">
        <f>$BB$23*($BI$10)</f>
        <v>2107042.8868666664</v>
      </c>
      <c r="AE26" s="310"/>
      <c r="AF26" s="310"/>
      <c r="AG26" s="310"/>
      <c r="AH26" s="307"/>
      <c r="AI26" s="307"/>
      <c r="AJ26" s="307"/>
      <c r="AK26" s="322">
        <f>$BC$23*($BJ$10)</f>
        <v>4108733.6293900008</v>
      </c>
      <c r="AL26" s="310"/>
      <c r="AM26" s="310"/>
      <c r="AN26" s="310"/>
      <c r="AO26" s="307"/>
      <c r="AP26" s="307"/>
      <c r="AQ26" s="307"/>
      <c r="AR26" s="322">
        <f>$BD$23*($BK$10)</f>
        <v>6847889.3823166667</v>
      </c>
      <c r="AS26" s="310"/>
      <c r="AT26" s="310"/>
      <c r="AU26" s="310"/>
      <c r="AV26" s="310"/>
      <c r="AW26" s="310"/>
      <c r="AX26" s="310"/>
      <c r="AY26" s="322">
        <f>$BE$23*($BL$10)</f>
        <v>10699827.159869792</v>
      </c>
      <c r="AZ26" s="68"/>
      <c r="BA26" s="1042"/>
      <c r="BB26" s="1039"/>
      <c r="BC26" s="1039"/>
      <c r="BD26" s="1039"/>
      <c r="BE26" s="1039"/>
    </row>
    <row r="27" spans="1:57">
      <c r="A27" s="161"/>
      <c r="B27" s="162" t="s">
        <v>301</v>
      </c>
      <c r="C27" s="161" t="s">
        <v>304</v>
      </c>
      <c r="D27" s="162" t="s">
        <v>294</v>
      </c>
      <c r="E27" s="292">
        <v>54</v>
      </c>
      <c r="F27" s="163"/>
      <c r="G27" s="163">
        <v>977575</v>
      </c>
      <c r="H27" s="163">
        <v>2491</v>
      </c>
      <c r="I27" s="436">
        <f t="shared" si="5"/>
        <v>10846.962806101956</v>
      </c>
      <c r="J27" s="321">
        <v>27019784.349999972</v>
      </c>
      <c r="K27" s="164">
        <v>32</v>
      </c>
      <c r="L27" s="164"/>
      <c r="M27" s="164">
        <v>645905</v>
      </c>
      <c r="N27" s="164">
        <v>1445</v>
      </c>
      <c r="O27" s="436">
        <f t="shared" si="1"/>
        <v>13768.224020761241</v>
      </c>
      <c r="P27" s="321">
        <v>19895083.709999993</v>
      </c>
      <c r="Q27" s="164">
        <v>38</v>
      </c>
      <c r="R27" s="286">
        <f t="shared" si="2"/>
        <v>32.32</v>
      </c>
      <c r="S27" s="286">
        <f>VLOOKUP($C27,[3]Assum!$B$11:$G$22,3,FALSE)*HLOOKUP($B27,[3]Assum!$C$9:$G$10,2,FALSE)*S$55</f>
        <v>5.6800000000000015</v>
      </c>
      <c r="T27" s="164">
        <v>2096520</v>
      </c>
      <c r="U27" s="164">
        <v>3961</v>
      </c>
      <c r="V27" s="164">
        <f t="shared" si="3"/>
        <v>10916.683347639486</v>
      </c>
      <c r="W27" s="321">
        <v>43240982.740000002</v>
      </c>
      <c r="X27" s="286">
        <f>Y27+Z27</f>
        <v>116.02499999999996</v>
      </c>
      <c r="Y27" s="286">
        <f>SUM(R27:R30)+(Y$56*[3]Assum!$C$37)</f>
        <v>107.54499999999996</v>
      </c>
      <c r="Z27" s="286">
        <f>S27+(Z$57*[3]Assum!$C$27)</f>
        <v>8.4800000000000022</v>
      </c>
      <c r="AA27" s="162"/>
      <c r="AB27" s="162"/>
      <c r="AC27" s="162"/>
      <c r="AD27" s="321">
        <f>$BB27*($BI$7)</f>
        <v>51237028.158399999</v>
      </c>
      <c r="AE27" s="286">
        <f>AF27+AG27</f>
        <v>143.52499999999995</v>
      </c>
      <c r="AF27" s="286">
        <f>Y27+(AF$56*[3]Assum!$D$37)</f>
        <v>132.04499999999996</v>
      </c>
      <c r="AG27" s="286">
        <f>Z27+(AG$57*[3]Assum!$D$27)</f>
        <v>11.480000000000002</v>
      </c>
      <c r="AH27" s="162"/>
      <c r="AI27" s="162"/>
      <c r="AJ27" s="162"/>
      <c r="AK27" s="321">
        <f>$BC27*($BJ$7)</f>
        <v>62765359.494039997</v>
      </c>
      <c r="AL27" s="286">
        <f>AM27+AN27</f>
        <v>173.87499999999994</v>
      </c>
      <c r="AM27" s="286">
        <f>AF27+(AM$56*[3]Assum!$E$37)</f>
        <v>158.99499999999995</v>
      </c>
      <c r="AN27" s="286">
        <f>AG27+(AN$57*[3]Assum!$E$27)</f>
        <v>14.880000000000003</v>
      </c>
      <c r="AO27" s="162"/>
      <c r="AP27" s="162"/>
      <c r="AQ27" s="162"/>
      <c r="AR27" s="321">
        <f>$BD27*($BK$7)</f>
        <v>75318431.392848</v>
      </c>
      <c r="AS27" s="286">
        <f>AT27+AU27</f>
        <v>207.24999999999994</v>
      </c>
      <c r="AT27" s="286">
        <f>SUM(AM27:AM30)+(AT$56*[3]Assum!$F$37)</f>
        <v>188.56999999999994</v>
      </c>
      <c r="AU27" s="286">
        <f>AN27+(AU$57*[3]Assum!$E$27)</f>
        <v>18.680000000000003</v>
      </c>
      <c r="AV27" s="286"/>
      <c r="AW27" s="286"/>
      <c r="AX27" s="286"/>
      <c r="AY27" s="321">
        <f>$BE27*($BL$7)</f>
        <v>87871503.291655988</v>
      </c>
      <c r="AZ27" s="68"/>
      <c r="BA27" s="1040">
        <f>SUM(W27:W30)</f>
        <v>45747346.57</v>
      </c>
      <c r="BB27" s="1031">
        <f>BA27*(1+[3]Assum!C$47)</f>
        <v>64046285.197999999</v>
      </c>
      <c r="BC27" s="1031">
        <f>BB27*(1+[3]Assum!D$47)</f>
        <v>89664799.277199998</v>
      </c>
      <c r="BD27" s="1031">
        <f>BC27*(1+[3]Assum!E$47)</f>
        <v>125530718.98807999</v>
      </c>
      <c r="BE27" s="1031">
        <f>BD27*(1+[3]Assum!F$47)</f>
        <v>175743006.58331198</v>
      </c>
    </row>
    <row r="28" spans="1:57">
      <c r="A28" s="161"/>
      <c r="B28" s="165" t="s">
        <v>301</v>
      </c>
      <c r="C28" s="170" t="s">
        <v>304</v>
      </c>
      <c r="D28" s="162" t="s">
        <v>295</v>
      </c>
      <c r="E28" s="292">
        <v>10</v>
      </c>
      <c r="F28" s="163"/>
      <c r="G28" s="163"/>
      <c r="H28" s="163">
        <v>28</v>
      </c>
      <c r="I28" s="164">
        <f t="shared" si="5"/>
        <v>3128.6017857142865</v>
      </c>
      <c r="J28" s="321">
        <v>87600.85000000002</v>
      </c>
      <c r="K28" s="164">
        <v>6</v>
      </c>
      <c r="L28" s="164"/>
      <c r="M28" s="164"/>
      <c r="N28" s="164">
        <v>12</v>
      </c>
      <c r="O28" s="164">
        <f t="shared" si="1"/>
        <v>6064.6183333333347</v>
      </c>
      <c r="P28" s="321">
        <v>72775.420000000013</v>
      </c>
      <c r="Q28" s="164">
        <v>1</v>
      </c>
      <c r="R28" s="286">
        <f t="shared" si="2"/>
        <v>1</v>
      </c>
      <c r="S28" s="286"/>
      <c r="T28" s="164"/>
      <c r="U28" s="164">
        <v>1</v>
      </c>
      <c r="V28" s="164">
        <f t="shared" si="3"/>
        <v>1588.98</v>
      </c>
      <c r="W28" s="321">
        <v>1588.98</v>
      </c>
      <c r="X28" s="286"/>
      <c r="Y28" s="286"/>
      <c r="Z28" s="286"/>
      <c r="AA28" s="162"/>
      <c r="AB28" s="162"/>
      <c r="AC28" s="162"/>
      <c r="AD28" s="321">
        <f>$BB27*($BI$8)</f>
        <v>4269752.346533332</v>
      </c>
      <c r="AE28" s="286"/>
      <c r="AF28" s="286"/>
      <c r="AG28" s="286"/>
      <c r="AH28" s="162"/>
      <c r="AI28" s="162"/>
      <c r="AJ28" s="162"/>
      <c r="AK28" s="321">
        <f>$BC27*($BJ$8)</f>
        <v>8966479.927720001</v>
      </c>
      <c r="AL28" s="286"/>
      <c r="AM28" s="286"/>
      <c r="AN28" s="286"/>
      <c r="AO28" s="162"/>
      <c r="AP28" s="162"/>
      <c r="AQ28" s="162"/>
      <c r="AR28" s="321">
        <f>$BD27*($BK$8)</f>
        <v>16737429.198410666</v>
      </c>
      <c r="AS28" s="286"/>
      <c r="AT28" s="286"/>
      <c r="AU28" s="286"/>
      <c r="AV28" s="286"/>
      <c r="AW28" s="286"/>
      <c r="AX28" s="286"/>
      <c r="AY28" s="321">
        <f>$BE27*($BL$8)</f>
        <v>29290501.097218663</v>
      </c>
      <c r="AZ28" s="68"/>
      <c r="BA28" s="1041"/>
      <c r="BB28" s="1032"/>
      <c r="BC28" s="1032"/>
      <c r="BD28" s="1032"/>
      <c r="BE28" s="1032"/>
    </row>
    <row r="29" spans="1:57">
      <c r="A29" s="161"/>
      <c r="B29" s="165" t="s">
        <v>301</v>
      </c>
      <c r="C29" s="170" t="s">
        <v>304</v>
      </c>
      <c r="D29" s="162" t="s">
        <v>296</v>
      </c>
      <c r="E29" s="292">
        <v>14</v>
      </c>
      <c r="F29" s="163"/>
      <c r="G29" s="163"/>
      <c r="H29" s="163">
        <v>90</v>
      </c>
      <c r="I29" s="164">
        <f t="shared" si="5"/>
        <v>7437.5294444444444</v>
      </c>
      <c r="J29" s="321">
        <v>669377.65</v>
      </c>
      <c r="K29" s="164">
        <v>8</v>
      </c>
      <c r="L29" s="164"/>
      <c r="M29" s="164"/>
      <c r="N29" s="164">
        <v>24</v>
      </c>
      <c r="O29" s="164">
        <f t="shared" si="1"/>
        <v>42700.892500000009</v>
      </c>
      <c r="P29" s="321">
        <v>1024821.4200000002</v>
      </c>
      <c r="Q29" s="164">
        <v>15</v>
      </c>
      <c r="R29" s="286">
        <f t="shared" si="2"/>
        <v>15</v>
      </c>
      <c r="S29" s="286"/>
      <c r="T29" s="164"/>
      <c r="U29" s="164">
        <v>39</v>
      </c>
      <c r="V29" s="164">
        <f t="shared" si="3"/>
        <v>44590.141538461539</v>
      </c>
      <c r="W29" s="321">
        <v>1739015.52</v>
      </c>
      <c r="X29" s="286"/>
      <c r="Y29" s="286"/>
      <c r="Z29" s="286"/>
      <c r="AA29" s="162"/>
      <c r="AB29" s="162"/>
      <c r="AC29" s="162"/>
      <c r="AD29" s="321">
        <f>$BB27*($BI$9)</f>
        <v>4269752.346533332</v>
      </c>
      <c r="AE29" s="286"/>
      <c r="AF29" s="286"/>
      <c r="AG29" s="286"/>
      <c r="AH29" s="162"/>
      <c r="AI29" s="162"/>
      <c r="AJ29" s="162"/>
      <c r="AK29" s="321">
        <f>$BC27*($BJ$9)</f>
        <v>8966479.927720001</v>
      </c>
      <c r="AL29" s="286"/>
      <c r="AM29" s="286"/>
      <c r="AN29" s="286"/>
      <c r="AO29" s="162"/>
      <c r="AP29" s="162"/>
      <c r="AQ29" s="162"/>
      <c r="AR29" s="321">
        <f>$BD27*($BK$9)</f>
        <v>16737429.198410666</v>
      </c>
      <c r="AS29" s="286"/>
      <c r="AT29" s="286"/>
      <c r="AU29" s="286"/>
      <c r="AV29" s="286"/>
      <c r="AW29" s="286"/>
      <c r="AX29" s="286"/>
      <c r="AY29" s="321">
        <f>$BE27*($BL$9)</f>
        <v>29290501.097218663</v>
      </c>
      <c r="AZ29" s="68"/>
      <c r="BA29" s="1041"/>
      <c r="BB29" s="1032"/>
      <c r="BC29" s="1032"/>
      <c r="BD29" s="1032"/>
      <c r="BE29" s="1032"/>
    </row>
    <row r="30" spans="1:57">
      <c r="A30" s="161"/>
      <c r="B30" s="184" t="s">
        <v>301</v>
      </c>
      <c r="C30" s="185" t="s">
        <v>304</v>
      </c>
      <c r="D30" s="186" t="s">
        <v>297</v>
      </c>
      <c r="E30" s="293">
        <v>67</v>
      </c>
      <c r="F30" s="187"/>
      <c r="G30" s="187"/>
      <c r="H30" s="187">
        <v>8869</v>
      </c>
      <c r="I30" s="164">
        <f t="shared" si="5"/>
        <v>282.78076784304881</v>
      </c>
      <c r="J30" s="322">
        <v>2507982.63</v>
      </c>
      <c r="K30" s="188">
        <v>51</v>
      </c>
      <c r="L30" s="188"/>
      <c r="M30" s="188"/>
      <c r="N30" s="188">
        <v>2018</v>
      </c>
      <c r="O30" s="188">
        <f t="shared" si="1"/>
        <v>531.46829038652106</v>
      </c>
      <c r="P30" s="322">
        <v>1072503.0099999995</v>
      </c>
      <c r="Q30" s="188">
        <v>37</v>
      </c>
      <c r="R30" s="188">
        <f t="shared" si="2"/>
        <v>37</v>
      </c>
      <c r="S30" s="188"/>
      <c r="T30" s="188"/>
      <c r="U30" s="188">
        <v>1782</v>
      </c>
      <c r="V30" s="188">
        <f t="shared" si="3"/>
        <v>429.71904040403984</v>
      </c>
      <c r="W30" s="322">
        <v>765759.32999999903</v>
      </c>
      <c r="X30" s="188"/>
      <c r="Y30" s="188"/>
      <c r="Z30" s="188"/>
      <c r="AA30" s="186"/>
      <c r="AB30" s="186"/>
      <c r="AC30" s="186"/>
      <c r="AD30" s="322">
        <f>$BB27*($BI$10)</f>
        <v>4269752.346533332</v>
      </c>
      <c r="AE30" s="188"/>
      <c r="AF30" s="188"/>
      <c r="AG30" s="188"/>
      <c r="AH30" s="186"/>
      <c r="AI30" s="186"/>
      <c r="AJ30" s="186"/>
      <c r="AK30" s="322">
        <f>$BC27*($BJ$10)</f>
        <v>8966479.927720001</v>
      </c>
      <c r="AL30" s="188"/>
      <c r="AM30" s="188"/>
      <c r="AN30" s="188"/>
      <c r="AO30" s="186"/>
      <c r="AP30" s="186"/>
      <c r="AQ30" s="186"/>
      <c r="AR30" s="322">
        <f>$BD27*($BK$10)</f>
        <v>16737429.198410666</v>
      </c>
      <c r="AS30" s="188"/>
      <c r="AT30" s="188"/>
      <c r="AU30" s="188"/>
      <c r="AV30" s="188"/>
      <c r="AW30" s="188"/>
      <c r="AX30" s="188"/>
      <c r="AY30" s="322">
        <f>$BE27*($BL$10)</f>
        <v>29290501.097218663</v>
      </c>
      <c r="AZ30" s="68"/>
      <c r="BA30" s="1042"/>
      <c r="BB30" s="1033"/>
      <c r="BC30" s="1033"/>
      <c r="BD30" s="1033"/>
      <c r="BE30" s="1033"/>
    </row>
    <row r="31" spans="1:57">
      <c r="B31" s="68" t="s">
        <v>102</v>
      </c>
      <c r="C31" s="149" t="s">
        <v>305</v>
      </c>
      <c r="D31" s="68" t="s">
        <v>294</v>
      </c>
      <c r="E31" s="290">
        <v>43</v>
      </c>
      <c r="F31" s="157"/>
      <c r="G31" s="157">
        <v>1256995</v>
      </c>
      <c r="H31" s="157">
        <v>3922</v>
      </c>
      <c r="I31" s="158">
        <f t="shared" si="5"/>
        <v>9033.2721876593441</v>
      </c>
      <c r="J31" s="321">
        <v>35428493.519999951</v>
      </c>
      <c r="K31" s="158">
        <v>28</v>
      </c>
      <c r="L31" s="158"/>
      <c r="M31" s="158">
        <v>406085</v>
      </c>
      <c r="N31" s="158">
        <v>1279</v>
      </c>
      <c r="O31" s="158">
        <f t="shared" si="1"/>
        <v>10140.573268178267</v>
      </c>
      <c r="P31" s="321">
        <v>12969793.210000003</v>
      </c>
      <c r="Q31" s="158">
        <v>65</v>
      </c>
      <c r="R31" s="158">
        <f t="shared" si="2"/>
        <v>47.96</v>
      </c>
      <c r="S31" s="1026">
        <f>VLOOKUP($C31,[3]Assum!$B$11:$G$22,4,FALSE)*HLOOKUP($B31,[3]Assum!$C$9:$G$10,2,FALSE)*S$55</f>
        <v>17.04</v>
      </c>
      <c r="T31" s="158">
        <v>3439105</v>
      </c>
      <c r="U31" s="158">
        <v>6808</v>
      </c>
      <c r="V31" s="158">
        <f t="shared" si="3"/>
        <v>9909.5000587544055</v>
      </c>
      <c r="W31" s="321">
        <v>67463876.399999991</v>
      </c>
      <c r="X31" s="248">
        <f>Y31+Z31</f>
        <v>128.11250000000001</v>
      </c>
      <c r="Y31" s="248">
        <f>SUM(R31:R34)+(Y$56*[3]Assum!$C$38)</f>
        <v>110.7225</v>
      </c>
      <c r="Z31" s="248">
        <f>S31+(Z$57*[3]Assum!$C$28)</f>
        <v>17.39</v>
      </c>
      <c r="AA31" s="68"/>
      <c r="AB31" s="68"/>
      <c r="AC31" s="68"/>
      <c r="AD31" s="321">
        <f>$BB31*($BI$7)</f>
        <v>72051371.516799986</v>
      </c>
      <c r="AE31" s="248">
        <f>AF31+AG31</f>
        <v>133.73750000000001</v>
      </c>
      <c r="AF31" s="248">
        <f>Y31+(AF$56*[3]Assum!$D$38)</f>
        <v>115.9725</v>
      </c>
      <c r="AG31" s="248">
        <f>Z31+(AG$57*[3]Assum!$D$28)</f>
        <v>17.765000000000001</v>
      </c>
      <c r="AH31" s="68"/>
      <c r="AI31" s="68"/>
      <c r="AJ31" s="68"/>
      <c r="AK31" s="321">
        <f>$BC31*($BJ$7)</f>
        <v>81958435.100359991</v>
      </c>
      <c r="AL31" s="248">
        <f>AM31+AN31</f>
        <v>139.9375</v>
      </c>
      <c r="AM31" s="248">
        <f>AF31+(AM$56*[3]Assum!$E$38)</f>
        <v>121.7475</v>
      </c>
      <c r="AN31" s="248">
        <f>AG31+(AN$57*[3]Assum!$E$28)</f>
        <v>18.190000000000001</v>
      </c>
      <c r="AO31" s="68"/>
      <c r="AP31" s="68"/>
      <c r="AQ31" s="68"/>
      <c r="AR31" s="321">
        <f>$BD31*($BK$7)</f>
        <v>87812609.036099985</v>
      </c>
      <c r="AS31" s="248">
        <f>AT31+AU31</f>
        <v>146.75</v>
      </c>
      <c r="AT31" s="248">
        <f>AM31+(AT$56*[3]Assum!$F$38)</f>
        <v>128.08500000000001</v>
      </c>
      <c r="AU31" s="248">
        <f>AN31+(AU$57*[3]Assum!$E$28)</f>
        <v>18.665000000000003</v>
      </c>
      <c r="AV31" s="248"/>
      <c r="AW31" s="248"/>
      <c r="AX31" s="248"/>
      <c r="AY31" s="321">
        <f>$BE31*($BL$7)</f>
        <v>91471467.745937482</v>
      </c>
      <c r="AZ31" s="68"/>
      <c r="BA31" s="1040">
        <f>SUM(W31:W34)</f>
        <v>69280164.919999987</v>
      </c>
      <c r="BB31" s="1034">
        <f>BA31*(1+[3]Assum!C$48)</f>
        <v>90064214.395999983</v>
      </c>
      <c r="BC31" s="1034">
        <f>BB31*(1+[3]Assum!D$48)</f>
        <v>117083478.71479999</v>
      </c>
      <c r="BD31" s="1034">
        <f>BC31*(1+[3]Assum!E$48)</f>
        <v>146354348.39349997</v>
      </c>
      <c r="BE31" s="1034">
        <f>BD31*(1+[3]Assum!F$48)</f>
        <v>182942935.49187496</v>
      </c>
    </row>
    <row r="32" spans="1:57">
      <c r="B32" s="303" t="s">
        <v>102</v>
      </c>
      <c r="C32" s="304" t="s">
        <v>305</v>
      </c>
      <c r="D32" s="68" t="s">
        <v>295</v>
      </c>
      <c r="E32" s="290">
        <v>12</v>
      </c>
      <c r="F32" s="157"/>
      <c r="G32" s="157"/>
      <c r="H32" s="157">
        <v>39</v>
      </c>
      <c r="I32" s="158">
        <f t="shared" si="5"/>
        <v>5222.7297435897444</v>
      </c>
      <c r="J32" s="321">
        <v>203686.46000000002</v>
      </c>
      <c r="K32" s="158">
        <v>6</v>
      </c>
      <c r="L32" s="158"/>
      <c r="M32" s="158"/>
      <c r="N32" s="158">
        <v>12</v>
      </c>
      <c r="O32" s="158">
        <f t="shared" si="1"/>
        <v>20391.950833333336</v>
      </c>
      <c r="P32" s="321">
        <v>244703.41000000003</v>
      </c>
      <c r="Q32" s="158"/>
      <c r="R32" s="248">
        <f t="shared" si="2"/>
        <v>0</v>
      </c>
      <c r="S32" s="1024"/>
      <c r="T32" s="158"/>
      <c r="U32" s="158"/>
      <c r="V32" s="158"/>
      <c r="W32" s="321">
        <v>0</v>
      </c>
      <c r="X32" s="248"/>
      <c r="Y32" s="248"/>
      <c r="Z32" s="248"/>
      <c r="AA32" s="68"/>
      <c r="AB32" s="68"/>
      <c r="AC32" s="68"/>
      <c r="AD32" s="321">
        <f>$BB$31*($BI$8)</f>
        <v>6004280.9597333306</v>
      </c>
      <c r="AE32" s="248"/>
      <c r="AF32" s="248"/>
      <c r="AG32" s="248"/>
      <c r="AH32" s="68"/>
      <c r="AI32" s="68"/>
      <c r="AJ32" s="68"/>
      <c r="AK32" s="321">
        <f>$BC$31*($BJ$8)</f>
        <v>11708347.871480001</v>
      </c>
      <c r="AL32" s="248"/>
      <c r="AM32" s="248"/>
      <c r="AN32" s="248"/>
      <c r="AO32" s="68"/>
      <c r="AP32" s="68"/>
      <c r="AQ32" s="68"/>
      <c r="AR32" s="321">
        <f>$BD$31*($BK$8)</f>
        <v>19513913.119133331</v>
      </c>
      <c r="AS32" s="248"/>
      <c r="AT32" s="248"/>
      <c r="AU32" s="248"/>
      <c r="AV32" s="248"/>
      <c r="AW32" s="248"/>
      <c r="AX32" s="248"/>
      <c r="AY32" s="321">
        <f>$BE$31*($BL$8)</f>
        <v>30490489.248645827</v>
      </c>
      <c r="AZ32" s="68"/>
      <c r="BA32" s="1041"/>
      <c r="BB32" s="1035"/>
      <c r="BC32" s="1035"/>
      <c r="BD32" s="1035"/>
      <c r="BE32" s="1035"/>
    </row>
    <row r="33" spans="1:57">
      <c r="B33" s="303" t="s">
        <v>102</v>
      </c>
      <c r="C33" s="304" t="s">
        <v>305</v>
      </c>
      <c r="D33" s="68" t="s">
        <v>296</v>
      </c>
      <c r="E33" s="290">
        <v>10</v>
      </c>
      <c r="F33" s="157"/>
      <c r="G33" s="157"/>
      <c r="H33" s="157">
        <v>55</v>
      </c>
      <c r="I33" s="158">
        <f t="shared" si="5"/>
        <v>6421.0127272727268</v>
      </c>
      <c r="J33" s="321">
        <v>353155.69999999995</v>
      </c>
      <c r="K33" s="158">
        <v>10</v>
      </c>
      <c r="L33" s="158"/>
      <c r="M33" s="158"/>
      <c r="N33" s="158">
        <v>21</v>
      </c>
      <c r="O33" s="158">
        <f t="shared" si="1"/>
        <v>24324.086666666666</v>
      </c>
      <c r="P33" s="321">
        <v>510805.82</v>
      </c>
      <c r="Q33" s="158">
        <v>12</v>
      </c>
      <c r="R33" s="248">
        <f t="shared" si="2"/>
        <v>12</v>
      </c>
      <c r="S33" s="1024"/>
      <c r="T33" s="158"/>
      <c r="U33" s="158">
        <v>39</v>
      </c>
      <c r="V33" s="158">
        <f t="shared" ref="V33:V54" si="6">W33/U33</f>
        <v>33986.442307692305</v>
      </c>
      <c r="W33" s="321">
        <v>1325471.2499999998</v>
      </c>
      <c r="X33" s="248"/>
      <c r="Y33" s="248"/>
      <c r="Z33" s="248"/>
      <c r="AA33" s="68"/>
      <c r="AB33" s="68"/>
      <c r="AC33" s="68"/>
      <c r="AD33" s="321">
        <f>$BB$31*($BI$9)</f>
        <v>6004280.9597333306</v>
      </c>
      <c r="AE33" s="248"/>
      <c r="AF33" s="248"/>
      <c r="AG33" s="248"/>
      <c r="AH33" s="68"/>
      <c r="AI33" s="68"/>
      <c r="AJ33" s="68"/>
      <c r="AK33" s="321">
        <f>$BC$31*($BJ$9)</f>
        <v>11708347.871480001</v>
      </c>
      <c r="AL33" s="248"/>
      <c r="AM33" s="248"/>
      <c r="AN33" s="248"/>
      <c r="AO33" s="68"/>
      <c r="AP33" s="68"/>
      <c r="AQ33" s="68"/>
      <c r="AR33" s="321">
        <f>$BD$31*($BK$9)</f>
        <v>19513913.119133331</v>
      </c>
      <c r="AS33" s="248"/>
      <c r="AT33" s="248"/>
      <c r="AU33" s="248"/>
      <c r="AV33" s="248"/>
      <c r="AW33" s="248"/>
      <c r="AX33" s="248"/>
      <c r="AY33" s="321">
        <f>$BE$31*($BL$9)</f>
        <v>30490489.248645827</v>
      </c>
      <c r="AZ33" s="68"/>
      <c r="BA33" s="1041"/>
      <c r="BB33" s="1035"/>
      <c r="BC33" s="1035"/>
      <c r="BD33" s="1035"/>
      <c r="BE33" s="1035"/>
    </row>
    <row r="34" spans="1:57">
      <c r="B34" s="305" t="s">
        <v>102</v>
      </c>
      <c r="C34" s="306" t="s">
        <v>305</v>
      </c>
      <c r="D34" s="307" t="s">
        <v>297</v>
      </c>
      <c r="E34" s="308">
        <v>53</v>
      </c>
      <c r="F34" s="309"/>
      <c r="G34" s="309"/>
      <c r="H34" s="309">
        <v>13621</v>
      </c>
      <c r="I34" s="310">
        <f t="shared" si="5"/>
        <v>164.39070112326604</v>
      </c>
      <c r="J34" s="322">
        <v>2239165.7400000067</v>
      </c>
      <c r="K34" s="310">
        <v>31</v>
      </c>
      <c r="L34" s="310"/>
      <c r="M34" s="310"/>
      <c r="N34" s="310">
        <v>3249</v>
      </c>
      <c r="O34" s="310">
        <f t="shared" si="1"/>
        <v>307.72397660818712</v>
      </c>
      <c r="P34" s="322">
        <v>999795.19999999995</v>
      </c>
      <c r="Q34" s="310">
        <v>46</v>
      </c>
      <c r="R34" s="310">
        <f t="shared" si="2"/>
        <v>46</v>
      </c>
      <c r="S34" s="1025"/>
      <c r="T34" s="310"/>
      <c r="U34" s="310">
        <v>1017</v>
      </c>
      <c r="V34" s="310">
        <f t="shared" si="6"/>
        <v>482.61285152409079</v>
      </c>
      <c r="W34" s="322">
        <v>490817.27000000031</v>
      </c>
      <c r="X34" s="310"/>
      <c r="Y34" s="310"/>
      <c r="Z34" s="310"/>
      <c r="AA34" s="307"/>
      <c r="AB34" s="307"/>
      <c r="AC34" s="307"/>
      <c r="AD34" s="322">
        <f>$BB$31*($BI$10)</f>
        <v>6004280.9597333306</v>
      </c>
      <c r="AE34" s="310"/>
      <c r="AF34" s="310"/>
      <c r="AG34" s="310"/>
      <c r="AH34" s="307"/>
      <c r="AI34" s="307"/>
      <c r="AJ34" s="307"/>
      <c r="AK34" s="322">
        <f>$BC$31*($BJ$10)</f>
        <v>11708347.871480001</v>
      </c>
      <c r="AL34" s="310"/>
      <c r="AM34" s="310"/>
      <c r="AN34" s="310"/>
      <c r="AO34" s="307"/>
      <c r="AP34" s="307"/>
      <c r="AQ34" s="307"/>
      <c r="AR34" s="322">
        <f>$BD$31*($BK$10)</f>
        <v>19513913.119133331</v>
      </c>
      <c r="AS34" s="310"/>
      <c r="AT34" s="310"/>
      <c r="AU34" s="310"/>
      <c r="AV34" s="310"/>
      <c r="AW34" s="310"/>
      <c r="AX34" s="310"/>
      <c r="AY34" s="322">
        <f>$BE$31*($BL$10)</f>
        <v>30490489.248645827</v>
      </c>
      <c r="AZ34" s="68"/>
      <c r="BA34" s="1042"/>
      <c r="BB34" s="1036"/>
      <c r="BC34" s="1036"/>
      <c r="BD34" s="1036"/>
      <c r="BE34" s="1036"/>
    </row>
    <row r="35" spans="1:57">
      <c r="B35" s="281" t="s">
        <v>102</v>
      </c>
      <c r="C35" s="282" t="s">
        <v>105</v>
      </c>
      <c r="D35" s="281" t="s">
        <v>294</v>
      </c>
      <c r="E35" s="291">
        <v>20</v>
      </c>
      <c r="F35" s="182"/>
      <c r="G35" s="182">
        <v>518300</v>
      </c>
      <c r="H35" s="182">
        <v>1222</v>
      </c>
      <c r="I35" s="183">
        <f t="shared" si="5"/>
        <v>11528.268445171849</v>
      </c>
      <c r="J35" s="323">
        <v>14087544.039999999</v>
      </c>
      <c r="K35" s="183">
        <v>11</v>
      </c>
      <c r="L35" s="183"/>
      <c r="M35" s="183">
        <v>116005</v>
      </c>
      <c r="N35" s="183">
        <v>292</v>
      </c>
      <c r="O35" s="183">
        <f t="shared" si="1"/>
        <v>12620.789999999999</v>
      </c>
      <c r="P35" s="323">
        <v>3685270.6799999997</v>
      </c>
      <c r="Q35" s="183">
        <v>26</v>
      </c>
      <c r="R35" s="183">
        <f t="shared" si="2"/>
        <v>20.32</v>
      </c>
      <c r="S35" s="1026">
        <f>VLOOKUP($C35,[3]Assum!$B$11:$G$22,4,FALSE)*HLOOKUP($B35,[3]Assum!$C$9:$G$10,2,FALSE)*S$55</f>
        <v>5.6800000000000015</v>
      </c>
      <c r="T35" s="183">
        <v>3036455</v>
      </c>
      <c r="U35" s="183">
        <v>5632</v>
      </c>
      <c r="V35" s="183">
        <f t="shared" si="6"/>
        <v>10782.106399147728</v>
      </c>
      <c r="W35" s="323">
        <v>60724823.240000002</v>
      </c>
      <c r="X35" s="183">
        <f>Y35+Z35</f>
        <v>52.112499999999997</v>
      </c>
      <c r="Y35" s="183">
        <f>SUM(R35:R38)+(Y$56*[3]Assum!$C$38)</f>
        <v>46.082499999999996</v>
      </c>
      <c r="Z35" s="183">
        <f>S35+(Z$57*[3]Assum!$C$28)</f>
        <v>6.0300000000000011</v>
      </c>
      <c r="AA35" s="281"/>
      <c r="AB35" s="281"/>
      <c r="AC35" s="281"/>
      <c r="AD35" s="323">
        <f>$BB35*($BI$7)</f>
        <v>65243337.837600008</v>
      </c>
      <c r="AE35" s="183">
        <f>AF35+AG35</f>
        <v>57.737499999999997</v>
      </c>
      <c r="AF35" s="183">
        <f>Y35+(AF$56*[3]Assum!$D$38)</f>
        <v>51.332499999999996</v>
      </c>
      <c r="AG35" s="183">
        <f>Z35+(AG$57*[3]Assum!$D$28)</f>
        <v>6.4050000000000011</v>
      </c>
      <c r="AH35" s="281"/>
      <c r="AI35" s="281"/>
      <c r="AJ35" s="281"/>
      <c r="AK35" s="323">
        <f>$BC35*($BJ$7)</f>
        <v>74214296.790270001</v>
      </c>
      <c r="AL35" s="183">
        <f>AM35+AN35</f>
        <v>63.937499999999993</v>
      </c>
      <c r="AM35" s="183">
        <f>AF35+(AM$56*[3]Assum!$E$38)</f>
        <v>57.107499999999995</v>
      </c>
      <c r="AN35" s="183">
        <f>AG35+(AN$57*[3]Assum!$E$28)</f>
        <v>6.830000000000001</v>
      </c>
      <c r="AO35" s="281"/>
      <c r="AP35" s="281"/>
      <c r="AQ35" s="281"/>
      <c r="AR35" s="323">
        <f>$BD35*($BK$7)</f>
        <v>79515317.989575014</v>
      </c>
      <c r="AS35" s="183">
        <f>AT35+AU35</f>
        <v>70.75</v>
      </c>
      <c r="AT35" s="183">
        <f>AM35+(AT$56*[3]Assum!$F$38)</f>
        <v>63.444999999999993</v>
      </c>
      <c r="AU35" s="183">
        <f>AN35+(AU$57*[3]Assum!$E$28)</f>
        <v>7.3050000000000006</v>
      </c>
      <c r="AV35" s="183"/>
      <c r="AW35" s="183"/>
      <c r="AX35" s="183"/>
      <c r="AY35" s="323">
        <f>$BE35*($BL$7)</f>
        <v>82828456.239140645</v>
      </c>
      <c r="AZ35" s="68"/>
      <c r="BA35" s="1040">
        <f>SUM(W35:W38)</f>
        <v>62733978.690000005</v>
      </c>
      <c r="BB35" s="1037">
        <f>BA35*(1+[3]Assum!C$49)</f>
        <v>81554172.297000006</v>
      </c>
      <c r="BC35" s="1037">
        <f>BB35*(1+[3]Assum!D$49)</f>
        <v>106020423.98610002</v>
      </c>
      <c r="BD35" s="1037">
        <f>BC35*(1+[3]Assum!E$49)</f>
        <v>132525529.98262502</v>
      </c>
      <c r="BE35" s="1037">
        <f>BD35*(1+[3]Assum!F$49)</f>
        <v>165656912.47828129</v>
      </c>
    </row>
    <row r="36" spans="1:57">
      <c r="B36" s="303" t="s">
        <v>102</v>
      </c>
      <c r="C36" s="312" t="s">
        <v>105</v>
      </c>
      <c r="D36" s="68" t="s">
        <v>295</v>
      </c>
      <c r="E36" s="290">
        <v>5</v>
      </c>
      <c r="F36" s="157"/>
      <c r="G36" s="157"/>
      <c r="H36" s="157">
        <v>11</v>
      </c>
      <c r="I36" s="158">
        <f t="shared" si="5"/>
        <v>4919.1054545454544</v>
      </c>
      <c r="J36" s="321">
        <v>54110.16</v>
      </c>
      <c r="K36" s="158"/>
      <c r="L36" s="158"/>
      <c r="M36" s="158"/>
      <c r="N36" s="158"/>
      <c r="O36" s="158"/>
      <c r="P36" s="321">
        <f>N36*O36</f>
        <v>0</v>
      </c>
      <c r="Q36" s="158">
        <v>1</v>
      </c>
      <c r="R36" s="248">
        <f t="shared" si="2"/>
        <v>1</v>
      </c>
      <c r="S36" s="1024"/>
      <c r="T36" s="158"/>
      <c r="U36" s="158">
        <v>1</v>
      </c>
      <c r="V36" s="158">
        <f t="shared" si="6"/>
        <v>101694.92</v>
      </c>
      <c r="W36" s="321">
        <v>101694.92</v>
      </c>
      <c r="X36" s="248"/>
      <c r="Y36" s="248"/>
      <c r="Z36" s="248"/>
      <c r="AA36" s="68"/>
      <c r="AB36" s="68"/>
      <c r="AC36" s="68"/>
      <c r="AD36" s="321">
        <f>$BB$35*($BI$8)</f>
        <v>5436944.8197999988</v>
      </c>
      <c r="AE36" s="248"/>
      <c r="AF36" s="248"/>
      <c r="AG36" s="248"/>
      <c r="AH36" s="68"/>
      <c r="AI36" s="68"/>
      <c r="AJ36" s="68"/>
      <c r="AK36" s="321">
        <f>$BC$35*($BJ$8)</f>
        <v>10602042.398610003</v>
      </c>
      <c r="AL36" s="248"/>
      <c r="AM36" s="248"/>
      <c r="AN36" s="248"/>
      <c r="AO36" s="68"/>
      <c r="AP36" s="68"/>
      <c r="AQ36" s="68"/>
      <c r="AR36" s="321">
        <f>$BD$35*($BK$8)</f>
        <v>17670070.664350003</v>
      </c>
      <c r="AS36" s="248"/>
      <c r="AT36" s="248"/>
      <c r="AU36" s="248"/>
      <c r="AV36" s="248"/>
      <c r="AW36" s="248"/>
      <c r="AX36" s="248"/>
      <c r="AY36" s="321">
        <f>$BE$35*($BL$8)</f>
        <v>27609485.413046882</v>
      </c>
      <c r="AZ36" s="68"/>
      <c r="BA36" s="1041"/>
      <c r="BB36" s="1038"/>
      <c r="BC36" s="1038"/>
      <c r="BD36" s="1038"/>
      <c r="BE36" s="1038"/>
    </row>
    <row r="37" spans="1:57">
      <c r="B37" s="303" t="s">
        <v>102</v>
      </c>
      <c r="C37" s="312" t="s">
        <v>105</v>
      </c>
      <c r="D37" s="68" t="s">
        <v>296</v>
      </c>
      <c r="E37" s="290">
        <v>3</v>
      </c>
      <c r="F37" s="157"/>
      <c r="G37" s="157"/>
      <c r="H37" s="157">
        <v>10</v>
      </c>
      <c r="I37" s="157">
        <f t="shared" si="5"/>
        <v>6306.3159999999998</v>
      </c>
      <c r="J37" s="321">
        <v>63063.159999999996</v>
      </c>
      <c r="K37" s="158"/>
      <c r="L37" s="158"/>
      <c r="M37" s="158"/>
      <c r="N37" s="158"/>
      <c r="O37" s="158"/>
      <c r="P37" s="321">
        <f>N37*O37</f>
        <v>0</v>
      </c>
      <c r="Q37" s="158">
        <v>7</v>
      </c>
      <c r="R37" s="248">
        <f t="shared" si="2"/>
        <v>7</v>
      </c>
      <c r="S37" s="1024"/>
      <c r="T37" s="158"/>
      <c r="U37" s="158">
        <v>54</v>
      </c>
      <c r="V37" s="158">
        <f t="shared" si="6"/>
        <v>33200.634999999995</v>
      </c>
      <c r="W37" s="321">
        <v>1792834.2899999998</v>
      </c>
      <c r="X37" s="248"/>
      <c r="Y37" s="248"/>
      <c r="Z37" s="248"/>
      <c r="AA37" s="68"/>
      <c r="AB37" s="68"/>
      <c r="AC37" s="68"/>
      <c r="AD37" s="321">
        <f>$BB$35*($BI$9)</f>
        <v>5436944.8197999988</v>
      </c>
      <c r="AE37" s="248"/>
      <c r="AF37" s="248"/>
      <c r="AG37" s="248"/>
      <c r="AH37" s="68"/>
      <c r="AI37" s="68"/>
      <c r="AJ37" s="68"/>
      <c r="AK37" s="321">
        <f>$BC$35*($BJ$9)</f>
        <v>10602042.398610003</v>
      </c>
      <c r="AL37" s="248"/>
      <c r="AM37" s="248"/>
      <c r="AN37" s="248"/>
      <c r="AO37" s="68"/>
      <c r="AP37" s="68"/>
      <c r="AQ37" s="68"/>
      <c r="AR37" s="321">
        <f>$BD$35*($BK$9)</f>
        <v>17670070.664350003</v>
      </c>
      <c r="AS37" s="248"/>
      <c r="AT37" s="248"/>
      <c r="AU37" s="248"/>
      <c r="AV37" s="248"/>
      <c r="AW37" s="248"/>
      <c r="AX37" s="248"/>
      <c r="AY37" s="321">
        <f>$BE$35*($BL$9)</f>
        <v>27609485.413046882</v>
      </c>
      <c r="AZ37" s="68"/>
      <c r="BA37" s="1041"/>
      <c r="BB37" s="1038"/>
      <c r="BC37" s="1038"/>
      <c r="BD37" s="1038"/>
      <c r="BE37" s="1038"/>
    </row>
    <row r="38" spans="1:57">
      <c r="B38" s="305" t="s">
        <v>102</v>
      </c>
      <c r="C38" s="313" t="s">
        <v>105</v>
      </c>
      <c r="D38" s="307" t="s">
        <v>297</v>
      </c>
      <c r="E38" s="308">
        <v>24</v>
      </c>
      <c r="F38" s="309"/>
      <c r="G38" s="309"/>
      <c r="H38" s="309">
        <v>6526</v>
      </c>
      <c r="I38" s="310">
        <f t="shared" si="5"/>
        <v>176.64347226478694</v>
      </c>
      <c r="J38" s="322">
        <v>1152775.2999999996</v>
      </c>
      <c r="K38" s="310">
        <v>10</v>
      </c>
      <c r="L38" s="310"/>
      <c r="M38" s="310"/>
      <c r="N38" s="310">
        <v>1141</v>
      </c>
      <c r="O38" s="310">
        <f t="shared" ref="O38:O54" si="7">P38/N38</f>
        <v>165.01885188431197</v>
      </c>
      <c r="P38" s="322">
        <v>188286.50999999995</v>
      </c>
      <c r="Q38" s="310">
        <v>13</v>
      </c>
      <c r="R38" s="310">
        <f t="shared" si="2"/>
        <v>13</v>
      </c>
      <c r="S38" s="1025"/>
      <c r="T38" s="310"/>
      <c r="U38" s="310">
        <v>454</v>
      </c>
      <c r="V38" s="310">
        <f t="shared" si="6"/>
        <v>252.48070484581501</v>
      </c>
      <c r="W38" s="322">
        <v>114626.24000000002</v>
      </c>
      <c r="X38" s="310"/>
      <c r="Y38" s="310"/>
      <c r="Z38" s="310"/>
      <c r="AA38" s="307"/>
      <c r="AB38" s="307"/>
      <c r="AC38" s="307"/>
      <c r="AD38" s="322">
        <f>$BB$35*($BI$10)</f>
        <v>5436944.8197999988</v>
      </c>
      <c r="AE38" s="310"/>
      <c r="AF38" s="310"/>
      <c r="AG38" s="310"/>
      <c r="AH38" s="307"/>
      <c r="AI38" s="307"/>
      <c r="AJ38" s="307"/>
      <c r="AK38" s="322">
        <f>$BC$35*($BJ$10)</f>
        <v>10602042.398610003</v>
      </c>
      <c r="AL38" s="310"/>
      <c r="AM38" s="310"/>
      <c r="AN38" s="310"/>
      <c r="AO38" s="307"/>
      <c r="AP38" s="307"/>
      <c r="AQ38" s="307"/>
      <c r="AR38" s="322">
        <f>$BD$35*($BK$10)</f>
        <v>17670070.664350003</v>
      </c>
      <c r="AS38" s="310"/>
      <c r="AT38" s="310"/>
      <c r="AU38" s="310"/>
      <c r="AV38" s="310"/>
      <c r="AW38" s="310"/>
      <c r="AX38" s="310"/>
      <c r="AY38" s="322">
        <f>$BE$35*($BL$10)</f>
        <v>27609485.413046882</v>
      </c>
      <c r="AZ38" s="68"/>
      <c r="BA38" s="1042"/>
      <c r="BB38" s="1039"/>
      <c r="BC38" s="1039"/>
      <c r="BD38" s="1039"/>
      <c r="BE38" s="1039"/>
    </row>
    <row r="39" spans="1:57">
      <c r="A39" s="161"/>
      <c r="B39" s="162" t="s">
        <v>102</v>
      </c>
      <c r="C39" s="161" t="s">
        <v>306</v>
      </c>
      <c r="D39" s="162" t="s">
        <v>294</v>
      </c>
      <c r="E39" s="292">
        <v>44</v>
      </c>
      <c r="F39" s="163"/>
      <c r="G39" s="163">
        <v>899615</v>
      </c>
      <c r="H39" s="163">
        <v>2398</v>
      </c>
      <c r="I39" s="436">
        <f t="shared" si="5"/>
        <v>10545.681643035865</v>
      </c>
      <c r="J39" s="321">
        <v>25288544.580000006</v>
      </c>
      <c r="K39" s="164">
        <v>39</v>
      </c>
      <c r="L39" s="164"/>
      <c r="M39" s="164">
        <v>460175</v>
      </c>
      <c r="N39" s="164">
        <v>1087</v>
      </c>
      <c r="O39" s="436">
        <f t="shared" si="7"/>
        <v>13640.313891444341</v>
      </c>
      <c r="P39" s="321">
        <v>14827021.199999997</v>
      </c>
      <c r="Q39" s="164">
        <v>68</v>
      </c>
      <c r="R39" s="286">
        <f t="shared" si="2"/>
        <v>62.32</v>
      </c>
      <c r="S39" s="1027">
        <f>VLOOKUP($C39,[3]Assum!$B$11:$G$22,4,FALSE)*HLOOKUP($B39,[3]Assum!$C$9:$G$10,2,FALSE)*S$55</f>
        <v>5.6800000000000015</v>
      </c>
      <c r="T39" s="164">
        <v>3389480</v>
      </c>
      <c r="U39" s="164">
        <v>7116</v>
      </c>
      <c r="V39" s="164">
        <f t="shared" si="6"/>
        <v>8907.2902332771209</v>
      </c>
      <c r="W39" s="321">
        <v>63384277.299999997</v>
      </c>
      <c r="X39" s="286">
        <f>Y39+Z39</f>
        <v>172.02499999999995</v>
      </c>
      <c r="Y39" s="286">
        <f>SUM(R39:R42)+(Y$56*[3]Assum!$C$37)</f>
        <v>163.54499999999996</v>
      </c>
      <c r="Z39" s="286">
        <f>S39+(Z$57*[3]Assum!$C$27)</f>
        <v>8.4800000000000022</v>
      </c>
      <c r="AA39" s="162"/>
      <c r="AB39" s="162"/>
      <c r="AC39" s="162"/>
      <c r="AD39" s="321">
        <f>$BB39*($BI$7)</f>
        <v>78195475.355199993</v>
      </c>
      <c r="AE39" s="286">
        <f>AF39+AG39</f>
        <v>199.52499999999995</v>
      </c>
      <c r="AF39" s="286">
        <f>Y39+(AF$56*[3]Assum!$D$37)</f>
        <v>188.04499999999996</v>
      </c>
      <c r="AG39" s="286">
        <f>Z39+(AG$57*[3]Assum!$D$27)</f>
        <v>11.480000000000002</v>
      </c>
      <c r="AH39" s="162"/>
      <c r="AI39" s="162"/>
      <c r="AJ39" s="162"/>
      <c r="AK39" s="321">
        <f>$BC39*($BJ$7)</f>
        <v>95789457.310119972</v>
      </c>
      <c r="AL39" s="286">
        <f>AM39+AN39</f>
        <v>229.87499999999994</v>
      </c>
      <c r="AM39" s="286">
        <f>AF39+(AM$56*[3]Assum!$E$37)</f>
        <v>214.99499999999995</v>
      </c>
      <c r="AN39" s="286">
        <f>AG39+(AN$57*[3]Assum!$E$27)</f>
        <v>14.880000000000003</v>
      </c>
      <c r="AO39" s="162"/>
      <c r="AP39" s="162"/>
      <c r="AQ39" s="162"/>
      <c r="AR39" s="321">
        <f>$BD39*($BK$7)</f>
        <v>114947348.77214396</v>
      </c>
      <c r="AS39" s="286">
        <f>AT39+AU39</f>
        <v>263.24999999999994</v>
      </c>
      <c r="AT39" s="286">
        <f>SUM(AM39:AM42)+(AT$56*[3]Assum!$F$37)</f>
        <v>244.56999999999994</v>
      </c>
      <c r="AU39" s="286">
        <f>AN39+(AU$57*[3]Assum!$E$27)</f>
        <v>18.680000000000003</v>
      </c>
      <c r="AV39" s="286"/>
      <c r="AW39" s="286"/>
      <c r="AX39" s="286"/>
      <c r="AY39" s="321">
        <f>$BE39*($BL$7)</f>
        <v>134105240.23416795</v>
      </c>
      <c r="AZ39" s="68"/>
      <c r="BA39" s="1040">
        <f>SUM(W39:W42)</f>
        <v>69817388.709999993</v>
      </c>
      <c r="BB39" s="1040">
        <f>BA39*(1+[3]Assum!C$50)</f>
        <v>97744344.193999991</v>
      </c>
      <c r="BC39" s="1040">
        <f>BB39*(1+[3]Assum!D$50)</f>
        <v>136842081.87159997</v>
      </c>
      <c r="BD39" s="1040">
        <f>BC39*(1+[3]Assum!E$50)</f>
        <v>191578914.62023994</v>
      </c>
      <c r="BE39" s="1040">
        <f>BD39*(1+[3]Assum!F$50)</f>
        <v>268210480.4683359</v>
      </c>
    </row>
    <row r="40" spans="1:57">
      <c r="A40" s="161"/>
      <c r="B40" s="165" t="s">
        <v>102</v>
      </c>
      <c r="C40" s="170" t="s">
        <v>306</v>
      </c>
      <c r="D40" s="162" t="s">
        <v>295</v>
      </c>
      <c r="E40" s="292">
        <v>9</v>
      </c>
      <c r="F40" s="163"/>
      <c r="G40" s="163"/>
      <c r="H40" s="163">
        <v>29</v>
      </c>
      <c r="I40" s="164">
        <f t="shared" si="5"/>
        <v>11412.186206896551</v>
      </c>
      <c r="J40" s="321">
        <v>330953.39999999997</v>
      </c>
      <c r="K40" s="164">
        <v>8</v>
      </c>
      <c r="L40" s="164"/>
      <c r="M40" s="164"/>
      <c r="N40" s="164">
        <v>28</v>
      </c>
      <c r="O40" s="164">
        <f t="shared" si="7"/>
        <v>29975.03107142857</v>
      </c>
      <c r="P40" s="321">
        <v>839300.87</v>
      </c>
      <c r="Q40" s="164">
        <v>7</v>
      </c>
      <c r="R40" s="286">
        <f t="shared" si="2"/>
        <v>7</v>
      </c>
      <c r="S40" s="1028"/>
      <c r="T40" s="164"/>
      <c r="U40" s="164">
        <v>11</v>
      </c>
      <c r="V40" s="164">
        <f t="shared" si="6"/>
        <v>62331.359999999993</v>
      </c>
      <c r="W40" s="321">
        <v>685644.96</v>
      </c>
      <c r="X40" s="286"/>
      <c r="Y40" s="286"/>
      <c r="Z40" s="286"/>
      <c r="AA40" s="162"/>
      <c r="AB40" s="162"/>
      <c r="AC40" s="162"/>
      <c r="AD40" s="321">
        <f>$BB$39*($BI$8)</f>
        <v>6516289.6129333312</v>
      </c>
      <c r="AE40" s="286"/>
      <c r="AF40" s="286"/>
      <c r="AG40" s="286"/>
      <c r="AH40" s="162"/>
      <c r="AI40" s="162"/>
      <c r="AJ40" s="162"/>
      <c r="AK40" s="321">
        <f>$BC$39*($BJ$8)</f>
        <v>13684208.18716</v>
      </c>
      <c r="AL40" s="286"/>
      <c r="AM40" s="286"/>
      <c r="AN40" s="286"/>
      <c r="AO40" s="162"/>
      <c r="AP40" s="162"/>
      <c r="AQ40" s="162"/>
      <c r="AR40" s="321">
        <f>$BD$39*($BK$8)</f>
        <v>25543855.282698657</v>
      </c>
      <c r="AS40" s="286"/>
      <c r="AT40" s="286"/>
      <c r="AU40" s="286"/>
      <c r="AV40" s="286"/>
      <c r="AW40" s="286"/>
      <c r="AX40" s="286"/>
      <c r="AY40" s="321">
        <f>$BE$39*($BL$8)</f>
        <v>44701746.744722649</v>
      </c>
      <c r="AZ40" s="68"/>
      <c r="BA40" s="1041"/>
      <c r="BB40" s="1041"/>
      <c r="BC40" s="1041"/>
      <c r="BD40" s="1041"/>
      <c r="BE40" s="1041"/>
    </row>
    <row r="41" spans="1:57">
      <c r="A41" s="161"/>
      <c r="B41" s="165" t="s">
        <v>102</v>
      </c>
      <c r="C41" s="170" t="s">
        <v>306</v>
      </c>
      <c r="D41" s="162" t="s">
        <v>296</v>
      </c>
      <c r="E41" s="292">
        <v>10</v>
      </c>
      <c r="F41" s="163"/>
      <c r="G41" s="163"/>
      <c r="H41" s="163">
        <v>40</v>
      </c>
      <c r="I41" s="164">
        <f t="shared" si="5"/>
        <v>7307.1355000000021</v>
      </c>
      <c r="J41" s="321">
        <v>292285.4200000001</v>
      </c>
      <c r="K41" s="164">
        <v>16</v>
      </c>
      <c r="L41" s="164"/>
      <c r="M41" s="164"/>
      <c r="N41" s="164">
        <v>25</v>
      </c>
      <c r="O41" s="164">
        <f t="shared" si="7"/>
        <v>62546.875200000024</v>
      </c>
      <c r="P41" s="321">
        <v>1563671.8800000006</v>
      </c>
      <c r="Q41" s="164">
        <v>23</v>
      </c>
      <c r="R41" s="286">
        <f t="shared" si="2"/>
        <v>23</v>
      </c>
      <c r="S41" s="1028"/>
      <c r="T41" s="164"/>
      <c r="U41" s="164">
        <v>104</v>
      </c>
      <c r="V41" s="164">
        <f t="shared" si="6"/>
        <v>39316.333749999991</v>
      </c>
      <c r="W41" s="321">
        <v>4088898.709999999</v>
      </c>
      <c r="X41" s="286"/>
      <c r="Y41" s="286"/>
      <c r="Z41" s="286"/>
      <c r="AA41" s="162"/>
      <c r="AB41" s="162"/>
      <c r="AC41" s="162"/>
      <c r="AD41" s="321">
        <f>$BB$39*($BI$9)</f>
        <v>6516289.6129333312</v>
      </c>
      <c r="AE41" s="286"/>
      <c r="AF41" s="286"/>
      <c r="AG41" s="286"/>
      <c r="AH41" s="162"/>
      <c r="AI41" s="162"/>
      <c r="AJ41" s="162"/>
      <c r="AK41" s="321">
        <f>$BC$39*($BJ$9)</f>
        <v>13684208.18716</v>
      </c>
      <c r="AL41" s="286"/>
      <c r="AM41" s="286"/>
      <c r="AN41" s="286"/>
      <c r="AO41" s="162"/>
      <c r="AP41" s="162"/>
      <c r="AQ41" s="162"/>
      <c r="AR41" s="321">
        <f>$BD$39*($BK$9)</f>
        <v>25543855.282698657</v>
      </c>
      <c r="AS41" s="286"/>
      <c r="AT41" s="286"/>
      <c r="AU41" s="286"/>
      <c r="AV41" s="286"/>
      <c r="AW41" s="286"/>
      <c r="AX41" s="286"/>
      <c r="AY41" s="321">
        <f>$BE$39*($BL$9)</f>
        <v>44701746.744722649</v>
      </c>
      <c r="AZ41" s="68"/>
      <c r="BA41" s="1041"/>
      <c r="BB41" s="1041"/>
      <c r="BC41" s="1041"/>
      <c r="BD41" s="1041"/>
      <c r="BE41" s="1041"/>
    </row>
    <row r="42" spans="1:57">
      <c r="A42" s="161"/>
      <c r="B42" s="184" t="s">
        <v>102</v>
      </c>
      <c r="C42" s="185" t="s">
        <v>306</v>
      </c>
      <c r="D42" s="186" t="s">
        <v>297</v>
      </c>
      <c r="E42" s="293">
        <v>74</v>
      </c>
      <c r="F42" s="187"/>
      <c r="G42" s="187"/>
      <c r="H42" s="187">
        <v>11273</v>
      </c>
      <c r="I42" s="164">
        <f t="shared" si="5"/>
        <v>375.01261421094688</v>
      </c>
      <c r="J42" s="322">
        <v>4227517.2000000039</v>
      </c>
      <c r="K42" s="188">
        <v>56</v>
      </c>
      <c r="L42" s="188"/>
      <c r="M42" s="188"/>
      <c r="N42" s="188">
        <v>5887</v>
      </c>
      <c r="O42" s="188">
        <f t="shared" si="7"/>
        <v>679.7698624086978</v>
      </c>
      <c r="P42" s="322">
        <v>4001805.1800000039</v>
      </c>
      <c r="Q42" s="188">
        <v>49</v>
      </c>
      <c r="R42" s="188">
        <f t="shared" si="2"/>
        <v>49</v>
      </c>
      <c r="S42" s="1029"/>
      <c r="T42" s="188"/>
      <c r="U42" s="188">
        <v>2871</v>
      </c>
      <c r="V42" s="188">
        <f t="shared" si="6"/>
        <v>577.69687913618986</v>
      </c>
      <c r="W42" s="322">
        <v>1658567.7400000012</v>
      </c>
      <c r="X42" s="188"/>
      <c r="Y42" s="188"/>
      <c r="Z42" s="188"/>
      <c r="AA42" s="186"/>
      <c r="AB42" s="186"/>
      <c r="AC42" s="186"/>
      <c r="AD42" s="322">
        <f>$BB$39*($BI$10)</f>
        <v>6516289.6129333312</v>
      </c>
      <c r="AE42" s="188"/>
      <c r="AF42" s="188"/>
      <c r="AG42" s="188"/>
      <c r="AH42" s="186"/>
      <c r="AI42" s="186"/>
      <c r="AJ42" s="186"/>
      <c r="AK42" s="322">
        <f>$BC$39*($BJ$10)</f>
        <v>13684208.18716</v>
      </c>
      <c r="AL42" s="188"/>
      <c r="AM42" s="188"/>
      <c r="AN42" s="188"/>
      <c r="AO42" s="186"/>
      <c r="AP42" s="186"/>
      <c r="AQ42" s="186"/>
      <c r="AR42" s="322">
        <f>$BD$39*($BK$10)</f>
        <v>25543855.282698657</v>
      </c>
      <c r="AS42" s="188"/>
      <c r="AT42" s="188"/>
      <c r="AU42" s="188"/>
      <c r="AV42" s="188"/>
      <c r="AW42" s="188"/>
      <c r="AX42" s="188"/>
      <c r="AY42" s="322">
        <f>$BE$39*($BL$10)</f>
        <v>44701746.744722649</v>
      </c>
      <c r="AZ42" s="68"/>
      <c r="BA42" s="1042"/>
      <c r="BB42" s="1042"/>
      <c r="BC42" s="1042"/>
      <c r="BD42" s="1042"/>
      <c r="BE42" s="1042"/>
    </row>
    <row r="43" spans="1:57">
      <c r="B43" s="68" t="s">
        <v>107</v>
      </c>
      <c r="C43" s="149" t="s">
        <v>108</v>
      </c>
      <c r="D43" s="68" t="s">
        <v>294</v>
      </c>
      <c r="E43" s="290">
        <v>22</v>
      </c>
      <c r="F43" s="157"/>
      <c r="G43" s="157">
        <v>1907665</v>
      </c>
      <c r="H43" s="157">
        <v>5977</v>
      </c>
      <c r="I43" s="158">
        <f t="shared" si="5"/>
        <v>8879.7633177179123</v>
      </c>
      <c r="J43" s="321">
        <v>53074345.349999957</v>
      </c>
      <c r="K43" s="158">
        <v>28</v>
      </c>
      <c r="L43" s="158"/>
      <c r="M43" s="158">
        <v>365640</v>
      </c>
      <c r="N43" s="158">
        <v>1185</v>
      </c>
      <c r="O43" s="158">
        <f t="shared" si="7"/>
        <v>10333.823240506325</v>
      </c>
      <c r="P43" s="321">
        <v>12245580.539999995</v>
      </c>
      <c r="Q43" s="158">
        <v>54</v>
      </c>
      <c r="R43" s="158">
        <f t="shared" si="2"/>
        <v>48.32</v>
      </c>
      <c r="S43" s="1026">
        <f>VLOOKUP($C43,[3]Assum!$B$11:$G$22,5,FALSE)*HLOOKUP($B43,[3]Assum!$C$9:$G$10,2,FALSE)*S$55</f>
        <v>5.6800000000000015</v>
      </c>
      <c r="T43" s="158">
        <v>2376690</v>
      </c>
      <c r="U43" s="158">
        <v>5431</v>
      </c>
      <c r="V43" s="158">
        <f t="shared" si="6"/>
        <v>8869.8337525317584</v>
      </c>
      <c r="W43" s="321">
        <v>48172067.109999985</v>
      </c>
      <c r="X43" s="248">
        <f>Y43+Z43</f>
        <v>117.11249999999998</v>
      </c>
      <c r="Y43" s="248">
        <f>SUM(R43:R46)+(Y$56*[3]Assum!$C$38)</f>
        <v>111.08249999999998</v>
      </c>
      <c r="Z43" s="248">
        <f>S43+(Z$57*[3]Assum!$C$28)</f>
        <v>6.0300000000000011</v>
      </c>
      <c r="AA43" s="68"/>
      <c r="AB43" s="68"/>
      <c r="AC43" s="68"/>
      <c r="AD43" s="321">
        <f>$BB43*($BI$7)</f>
        <v>48348977.366399981</v>
      </c>
      <c r="AE43" s="248">
        <f>AF43+AG43</f>
        <v>122.73749999999998</v>
      </c>
      <c r="AF43" s="248">
        <f>Y43+(AF$56*[3]Assum!$D$38)</f>
        <v>116.33249999999998</v>
      </c>
      <c r="AG43" s="248">
        <f>Z43+(AG$57*[3]Assum!$D$28)</f>
        <v>6.4050000000000011</v>
      </c>
      <c r="AH43" s="68"/>
      <c r="AI43" s="68"/>
      <c r="AJ43" s="68"/>
      <c r="AK43" s="321">
        <f>$BC43*($BJ$7)</f>
        <v>50766426.234719969</v>
      </c>
      <c r="AL43" s="248">
        <f>AM43+AN43</f>
        <v>128.9375</v>
      </c>
      <c r="AM43" s="248">
        <f>AF43+(AM$56*[3]Assum!$E$38)</f>
        <v>122.10749999999999</v>
      </c>
      <c r="AN43" s="248">
        <f>AG43+(AN$57*[3]Assum!$E$28)</f>
        <v>6.830000000000001</v>
      </c>
      <c r="AO43" s="68"/>
      <c r="AP43" s="68"/>
      <c r="AQ43" s="68"/>
      <c r="AR43" s="321">
        <f>$BD43*($BK$7)</f>
        <v>52216895.55571197</v>
      </c>
      <c r="AS43" s="248">
        <f>AT43+AU43</f>
        <v>135.75</v>
      </c>
      <c r="AT43" s="248">
        <f>AM43+(AT$56*[3]Assum!$F$38)</f>
        <v>128.44499999999999</v>
      </c>
      <c r="AU43" s="248">
        <f>AN43+(AU$57*[3]Assum!$E$28)</f>
        <v>7.3050000000000006</v>
      </c>
      <c r="AV43" s="248"/>
      <c r="AW43" s="248"/>
      <c r="AX43" s="248"/>
      <c r="AY43" s="321">
        <f>$BE43*($BL$7)</f>
        <v>52216895.55571197</v>
      </c>
      <c r="AZ43" s="68"/>
      <c r="BA43" s="1040">
        <f>SUM(W43:W46)</f>
        <v>50363518.089999981</v>
      </c>
      <c r="BB43" s="1037">
        <f>BA43*(1+[3]Assum!C$51)</f>
        <v>60436221.707999974</v>
      </c>
      <c r="BC43" s="1037">
        <f>BB43*(1+[3]Assum!D$51)</f>
        <v>72523466.04959996</v>
      </c>
      <c r="BD43" s="1037">
        <f>BC43*(1+[3]Assum!E$51)</f>
        <v>87028159.25951995</v>
      </c>
      <c r="BE43" s="1037">
        <f>BD43*(1+[3]Assum!F$51)</f>
        <v>104433791.11142394</v>
      </c>
    </row>
    <row r="44" spans="1:57">
      <c r="B44" s="303" t="s">
        <v>107</v>
      </c>
      <c r="C44" s="304" t="s">
        <v>108</v>
      </c>
      <c r="D44" s="68" t="s">
        <v>295</v>
      </c>
      <c r="E44" s="290">
        <v>6</v>
      </c>
      <c r="F44" s="157"/>
      <c r="G44" s="157"/>
      <c r="H44" s="157">
        <v>23</v>
      </c>
      <c r="I44" s="158">
        <f t="shared" si="5"/>
        <v>2920.0452173913036</v>
      </c>
      <c r="J44" s="321">
        <v>67161.039999999979</v>
      </c>
      <c r="K44" s="158">
        <v>8</v>
      </c>
      <c r="L44" s="158"/>
      <c r="M44" s="158"/>
      <c r="N44" s="158">
        <v>16</v>
      </c>
      <c r="O44" s="158">
        <f t="shared" si="7"/>
        <v>21828.654999999995</v>
      </c>
      <c r="P44" s="321">
        <v>349258.47999999992</v>
      </c>
      <c r="Q44" s="158">
        <v>5</v>
      </c>
      <c r="R44" s="248">
        <f t="shared" si="2"/>
        <v>5</v>
      </c>
      <c r="S44" s="1024"/>
      <c r="T44" s="158"/>
      <c r="U44" s="158">
        <v>5</v>
      </c>
      <c r="V44" s="158">
        <f t="shared" si="6"/>
        <v>76796.610000000015</v>
      </c>
      <c r="W44" s="321">
        <v>383983.05000000005</v>
      </c>
      <c r="X44" s="248"/>
      <c r="Y44" s="248"/>
      <c r="Z44" s="248"/>
      <c r="AA44" s="68"/>
      <c r="AB44" s="68"/>
      <c r="AC44" s="68"/>
      <c r="AD44" s="321">
        <f>$BB43*($BI$8)</f>
        <v>4029081.4471999975</v>
      </c>
      <c r="AE44" s="248"/>
      <c r="AF44" s="248"/>
      <c r="AG44" s="248"/>
      <c r="AH44" s="68"/>
      <c r="AI44" s="68"/>
      <c r="AJ44" s="68"/>
      <c r="AK44" s="321">
        <f>$BC43*($BJ$8)</f>
        <v>7252346.6049599973</v>
      </c>
      <c r="AL44" s="248"/>
      <c r="AM44" s="248"/>
      <c r="AN44" s="248"/>
      <c r="AO44" s="68"/>
      <c r="AP44" s="68"/>
      <c r="AQ44" s="68"/>
      <c r="AR44" s="321">
        <f>$BD43*($BK$8)</f>
        <v>11603754.567935994</v>
      </c>
      <c r="AS44" s="248"/>
      <c r="AT44" s="248"/>
      <c r="AU44" s="248"/>
      <c r="AV44" s="248"/>
      <c r="AW44" s="248"/>
      <c r="AX44" s="248"/>
      <c r="AY44" s="321">
        <f>$BE43*($BL$8)</f>
        <v>17405631.85190399</v>
      </c>
      <c r="AZ44" s="68"/>
      <c r="BA44" s="1041"/>
      <c r="BB44" s="1038"/>
      <c r="BC44" s="1038"/>
      <c r="BD44" s="1038"/>
      <c r="BE44" s="1038"/>
    </row>
    <row r="45" spans="1:57">
      <c r="B45" s="303" t="s">
        <v>107</v>
      </c>
      <c r="C45" s="304" t="s">
        <v>108</v>
      </c>
      <c r="D45" s="68" t="s">
        <v>296</v>
      </c>
      <c r="E45" s="290">
        <v>7</v>
      </c>
      <c r="F45" s="157"/>
      <c r="G45" s="157"/>
      <c r="H45" s="157">
        <v>54</v>
      </c>
      <c r="I45" s="158">
        <f t="shared" si="5"/>
        <v>7054.9885185185194</v>
      </c>
      <c r="J45" s="321">
        <v>380969.38000000006</v>
      </c>
      <c r="K45" s="158">
        <v>11</v>
      </c>
      <c r="L45" s="158"/>
      <c r="M45" s="158"/>
      <c r="N45" s="158">
        <v>19</v>
      </c>
      <c r="O45" s="158">
        <f t="shared" si="7"/>
        <v>78177.527368421041</v>
      </c>
      <c r="P45" s="321">
        <v>1485373.0199999998</v>
      </c>
      <c r="Q45" s="158">
        <v>15</v>
      </c>
      <c r="R45" s="248">
        <f t="shared" si="2"/>
        <v>15</v>
      </c>
      <c r="S45" s="1024"/>
      <c r="T45" s="158"/>
      <c r="U45" s="158">
        <v>39</v>
      </c>
      <c r="V45" s="158">
        <f t="shared" si="6"/>
        <v>31249.982307692309</v>
      </c>
      <c r="W45" s="321">
        <v>1218749.31</v>
      </c>
      <c r="X45" s="248"/>
      <c r="Y45" s="248"/>
      <c r="Z45" s="248"/>
      <c r="AA45" s="68"/>
      <c r="AB45" s="68"/>
      <c r="AC45" s="68"/>
      <c r="AD45" s="321">
        <f>$BB43*($BI$9)</f>
        <v>4029081.4471999975</v>
      </c>
      <c r="AE45" s="248"/>
      <c r="AF45" s="248"/>
      <c r="AG45" s="248"/>
      <c r="AH45" s="68"/>
      <c r="AI45" s="68"/>
      <c r="AJ45" s="68"/>
      <c r="AK45" s="321">
        <f>$BC43*($BJ$9)</f>
        <v>7252346.6049599973</v>
      </c>
      <c r="AL45" s="248"/>
      <c r="AM45" s="248"/>
      <c r="AN45" s="248"/>
      <c r="AO45" s="68"/>
      <c r="AP45" s="68"/>
      <c r="AQ45" s="68"/>
      <c r="AR45" s="321">
        <f>$BD43*($BK$9)</f>
        <v>11603754.567935994</v>
      </c>
      <c r="AS45" s="248"/>
      <c r="AT45" s="248"/>
      <c r="AU45" s="248"/>
      <c r="AV45" s="248"/>
      <c r="AW45" s="248"/>
      <c r="AX45" s="248"/>
      <c r="AY45" s="321">
        <f>$BE43*($BL$9)</f>
        <v>17405631.85190399</v>
      </c>
      <c r="AZ45" s="68"/>
      <c r="BA45" s="1041"/>
      <c r="BB45" s="1038"/>
      <c r="BC45" s="1038"/>
      <c r="BD45" s="1038"/>
      <c r="BE45" s="1038"/>
    </row>
    <row r="46" spans="1:57">
      <c r="B46" s="305" t="s">
        <v>107</v>
      </c>
      <c r="C46" s="306" t="s">
        <v>108</v>
      </c>
      <c r="D46" s="307" t="s">
        <v>297</v>
      </c>
      <c r="E46" s="308">
        <v>36</v>
      </c>
      <c r="F46" s="309"/>
      <c r="G46" s="309"/>
      <c r="H46" s="309">
        <v>36439</v>
      </c>
      <c r="I46" s="310">
        <f t="shared" si="5"/>
        <v>193.70690441559881</v>
      </c>
      <c r="J46" s="322">
        <v>7058485.8900000053</v>
      </c>
      <c r="K46" s="310">
        <v>40</v>
      </c>
      <c r="L46" s="310"/>
      <c r="M46" s="310"/>
      <c r="N46" s="310">
        <v>14888</v>
      </c>
      <c r="O46" s="310">
        <f t="shared" si="7"/>
        <v>189.11581407845301</v>
      </c>
      <c r="P46" s="322">
        <v>2815556.2400000086</v>
      </c>
      <c r="Q46" s="310">
        <v>38</v>
      </c>
      <c r="R46" s="310">
        <f t="shared" si="2"/>
        <v>38</v>
      </c>
      <c r="S46" s="1025"/>
      <c r="T46" s="310"/>
      <c r="U46" s="310">
        <v>1977</v>
      </c>
      <c r="V46" s="310">
        <f t="shared" si="6"/>
        <v>297.7838239757204</v>
      </c>
      <c r="W46" s="322">
        <v>588718.61999999918</v>
      </c>
      <c r="X46" s="310"/>
      <c r="Y46" s="310"/>
      <c r="Z46" s="310"/>
      <c r="AA46" s="307"/>
      <c r="AB46" s="307"/>
      <c r="AC46" s="307"/>
      <c r="AD46" s="322">
        <f>$BB43*($BI$10)</f>
        <v>4029081.4471999975</v>
      </c>
      <c r="AE46" s="310"/>
      <c r="AF46" s="310"/>
      <c r="AG46" s="310"/>
      <c r="AH46" s="307"/>
      <c r="AI46" s="307"/>
      <c r="AJ46" s="307"/>
      <c r="AK46" s="322">
        <f>$BC43*($BJ$10)</f>
        <v>7252346.6049599973</v>
      </c>
      <c r="AL46" s="310"/>
      <c r="AM46" s="310"/>
      <c r="AN46" s="310"/>
      <c r="AO46" s="307"/>
      <c r="AP46" s="307"/>
      <c r="AQ46" s="307"/>
      <c r="AR46" s="322">
        <f>$BD43*($BK$10)</f>
        <v>11603754.567935994</v>
      </c>
      <c r="AS46" s="310"/>
      <c r="AT46" s="310"/>
      <c r="AU46" s="310"/>
      <c r="AV46" s="310"/>
      <c r="AW46" s="310"/>
      <c r="AX46" s="310"/>
      <c r="AY46" s="322">
        <f>$BE43*($BL$10)</f>
        <v>17405631.85190399</v>
      </c>
      <c r="AZ46" s="68"/>
      <c r="BA46" s="1042"/>
      <c r="BB46" s="1039"/>
      <c r="BC46" s="1039"/>
      <c r="BD46" s="1039"/>
      <c r="BE46" s="1039"/>
    </row>
    <row r="47" spans="1:57">
      <c r="B47" s="281" t="s">
        <v>107</v>
      </c>
      <c r="C47" s="282" t="s">
        <v>307</v>
      </c>
      <c r="D47" s="281" t="s">
        <v>294</v>
      </c>
      <c r="E47" s="291">
        <v>12</v>
      </c>
      <c r="F47" s="182"/>
      <c r="G47" s="182">
        <v>451095</v>
      </c>
      <c r="H47" s="182">
        <v>1261</v>
      </c>
      <c r="I47" s="183">
        <f t="shared" si="5"/>
        <v>10230.398794607456</v>
      </c>
      <c r="J47" s="323">
        <v>12900532.880000003</v>
      </c>
      <c r="K47" s="183">
        <v>20</v>
      </c>
      <c r="L47" s="183"/>
      <c r="M47" s="183">
        <v>444400</v>
      </c>
      <c r="N47" s="183">
        <v>956</v>
      </c>
      <c r="O47" s="183">
        <f t="shared" si="7"/>
        <v>14069.496935146444</v>
      </c>
      <c r="P47" s="323">
        <v>13450439.07</v>
      </c>
      <c r="Q47" s="183">
        <v>27</v>
      </c>
      <c r="R47" s="183">
        <f t="shared" si="2"/>
        <v>21.32</v>
      </c>
      <c r="S47" s="1026">
        <f>VLOOKUP($C47,[3]Assum!$B$11:$G$22,5,FALSE)*HLOOKUP($B47,[3]Assum!$C$9:$G$10,2,FALSE)*S$55</f>
        <v>5.6800000000000015</v>
      </c>
      <c r="T47" s="183">
        <v>2087685</v>
      </c>
      <c r="U47" s="183">
        <v>4025</v>
      </c>
      <c r="V47" s="183">
        <f t="shared" si="6"/>
        <v>10387.532519254659</v>
      </c>
      <c r="W47" s="323">
        <v>41809818.390000001</v>
      </c>
      <c r="X47" s="183">
        <f>Y47+Z47</f>
        <v>77.112499999999983</v>
      </c>
      <c r="Y47" s="183">
        <f>SUM(R47:R50)+(Y$56*[3]Assum!$C$38)</f>
        <v>71.082499999999982</v>
      </c>
      <c r="Z47" s="183">
        <f>S47+(Z$57*[3]Assum!$C$28)</f>
        <v>6.0300000000000011</v>
      </c>
      <c r="AA47" s="281"/>
      <c r="AB47" s="281"/>
      <c r="AC47" s="281"/>
      <c r="AD47" s="323">
        <f>$BB47*($BI$7)</f>
        <v>42899463.273599997</v>
      </c>
      <c r="AE47" s="183">
        <f>AF47+AG47</f>
        <v>82.737499999999983</v>
      </c>
      <c r="AF47" s="183">
        <f>Y47+(AF$56*[3]Assum!$D$38)</f>
        <v>76.332499999999982</v>
      </c>
      <c r="AG47" s="183">
        <f>Z47+(AG$57*[3]Assum!$D$28)</f>
        <v>6.4050000000000011</v>
      </c>
      <c r="AH47" s="281"/>
      <c r="AI47" s="281"/>
      <c r="AJ47" s="281"/>
      <c r="AK47" s="323">
        <f>$BC47*($BJ$7)</f>
        <v>45044436.437279992</v>
      </c>
      <c r="AL47" s="183">
        <f>AM47+AN47</f>
        <v>88.937499999999986</v>
      </c>
      <c r="AM47" s="183">
        <f>AF47+(AM$56*[3]Assum!$E$38)</f>
        <v>82.107499999999987</v>
      </c>
      <c r="AN47" s="183">
        <f>AG47+(AN$57*[3]Assum!$E$28)</f>
        <v>6.830000000000001</v>
      </c>
      <c r="AO47" s="281"/>
      <c r="AP47" s="281"/>
      <c r="AQ47" s="281"/>
      <c r="AR47" s="323">
        <f>$BD47*($BK$7)</f>
        <v>46331420.335487992</v>
      </c>
      <c r="AS47" s="183">
        <f>AT47+AU47</f>
        <v>95.75</v>
      </c>
      <c r="AT47" s="183">
        <f>AM47+(AT$56*[3]Assum!$F$38)</f>
        <v>88.444999999999993</v>
      </c>
      <c r="AU47" s="183">
        <f>AN47+(AU$57*[3]Assum!$E$28)</f>
        <v>7.3050000000000006</v>
      </c>
      <c r="AV47" s="183"/>
      <c r="AW47" s="183"/>
      <c r="AX47" s="183"/>
      <c r="AY47" s="323">
        <f>$BE47*($BL$7)</f>
        <v>46331420.335487992</v>
      </c>
      <c r="AZ47" s="68"/>
      <c r="BA47" s="1040">
        <f>SUM(W47:W50)</f>
        <v>44686940.909999996</v>
      </c>
      <c r="BB47" s="1037">
        <f>BA47*(1+[3]Assum!C$52)</f>
        <v>53624329.091999993</v>
      </c>
      <c r="BC47" s="1037">
        <f>BB47*(1+[3]Assum!D$52)</f>
        <v>64349194.910399988</v>
      </c>
      <c r="BD47" s="1037">
        <f>BC47*(1+[3]Assum!E$52)</f>
        <v>77219033.892479986</v>
      </c>
      <c r="BE47" s="1037">
        <f>BD47*(1+[3]Assum!F$52)</f>
        <v>92662840.670975983</v>
      </c>
    </row>
    <row r="48" spans="1:57">
      <c r="B48" s="303" t="s">
        <v>107</v>
      </c>
      <c r="C48" s="312" t="s">
        <v>307</v>
      </c>
      <c r="D48" s="68" t="s">
        <v>295</v>
      </c>
      <c r="E48" s="290">
        <v>2</v>
      </c>
      <c r="F48" s="157"/>
      <c r="G48" s="157"/>
      <c r="H48" s="157">
        <v>11</v>
      </c>
      <c r="I48" s="158">
        <f t="shared" si="5"/>
        <v>2262.7900000000004</v>
      </c>
      <c r="J48" s="321">
        <v>24890.690000000006</v>
      </c>
      <c r="K48" s="158">
        <v>5</v>
      </c>
      <c r="L48" s="158"/>
      <c r="M48" s="158"/>
      <c r="N48" s="158">
        <v>13</v>
      </c>
      <c r="O48" s="158">
        <f t="shared" si="7"/>
        <v>11269.556923076925</v>
      </c>
      <c r="P48" s="321">
        <v>146504.24000000002</v>
      </c>
      <c r="Q48" s="158">
        <v>5</v>
      </c>
      <c r="R48" s="248">
        <f t="shared" si="2"/>
        <v>5</v>
      </c>
      <c r="S48" s="1030"/>
      <c r="T48" s="158"/>
      <c r="U48" s="158">
        <v>6</v>
      </c>
      <c r="V48" s="158">
        <f t="shared" si="6"/>
        <v>112100.98999999999</v>
      </c>
      <c r="W48" s="321">
        <v>672605.94</v>
      </c>
      <c r="X48" s="248"/>
      <c r="Y48" s="248"/>
      <c r="Z48" s="248"/>
      <c r="AA48" s="68"/>
      <c r="AB48" s="68"/>
      <c r="AC48" s="68"/>
      <c r="AD48" s="321">
        <f>$BB47*($BI$8)</f>
        <v>3574955.2727999985</v>
      </c>
      <c r="AE48" s="248"/>
      <c r="AF48" s="248"/>
      <c r="AG48" s="248"/>
      <c r="AH48" s="68"/>
      <c r="AI48" s="68"/>
      <c r="AJ48" s="68"/>
      <c r="AK48" s="321">
        <f>$BC47*($BJ$8)</f>
        <v>6434919.4910399998</v>
      </c>
      <c r="AL48" s="248"/>
      <c r="AM48" s="248"/>
      <c r="AN48" s="248"/>
      <c r="AO48" s="68"/>
      <c r="AP48" s="68"/>
      <c r="AQ48" s="68"/>
      <c r="AR48" s="321">
        <f>$BD47*($BK$8)</f>
        <v>10295871.185663998</v>
      </c>
      <c r="AS48" s="248"/>
      <c r="AT48" s="248"/>
      <c r="AU48" s="248"/>
      <c r="AV48" s="248"/>
      <c r="AW48" s="248"/>
      <c r="AX48" s="248"/>
      <c r="AY48" s="321">
        <f>$BE47*($BL$8)</f>
        <v>15443806.778495997</v>
      </c>
      <c r="AZ48" s="68"/>
      <c r="BA48" s="1041"/>
      <c r="BB48" s="1038"/>
      <c r="BC48" s="1038"/>
      <c r="BD48" s="1038"/>
      <c r="BE48" s="1038"/>
    </row>
    <row r="49" spans="1:57">
      <c r="B49" s="303" t="s">
        <v>107</v>
      </c>
      <c r="C49" s="312" t="s">
        <v>307</v>
      </c>
      <c r="D49" s="68" t="s">
        <v>296</v>
      </c>
      <c r="E49" s="290">
        <v>5</v>
      </c>
      <c r="F49" s="157"/>
      <c r="G49" s="157"/>
      <c r="H49" s="157">
        <v>31</v>
      </c>
      <c r="I49" s="157">
        <f t="shared" si="5"/>
        <v>6646.6122580645151</v>
      </c>
      <c r="J49" s="321">
        <v>206044.97999999998</v>
      </c>
      <c r="K49" s="158">
        <v>8</v>
      </c>
      <c r="L49" s="158"/>
      <c r="M49" s="158"/>
      <c r="N49" s="158">
        <v>16</v>
      </c>
      <c r="O49" s="158">
        <f t="shared" si="7"/>
        <v>42020.088749999995</v>
      </c>
      <c r="P49" s="321">
        <v>672321.41999999993</v>
      </c>
      <c r="Q49" s="158">
        <v>14</v>
      </c>
      <c r="R49" s="248">
        <f t="shared" si="2"/>
        <v>14</v>
      </c>
      <c r="S49" s="1030"/>
      <c r="T49" s="158"/>
      <c r="U49" s="158">
        <v>49</v>
      </c>
      <c r="V49" s="158">
        <f t="shared" si="6"/>
        <v>39514.704081632641</v>
      </c>
      <c r="W49" s="321">
        <v>1936220.4999999993</v>
      </c>
      <c r="X49" s="248"/>
      <c r="Y49" s="248"/>
      <c r="Z49" s="248"/>
      <c r="AA49" s="68"/>
      <c r="AB49" s="68"/>
      <c r="AC49" s="68"/>
      <c r="AD49" s="321">
        <f>$BB47*($BI$9)</f>
        <v>3574955.2727999985</v>
      </c>
      <c r="AE49" s="248"/>
      <c r="AF49" s="248"/>
      <c r="AG49" s="248"/>
      <c r="AH49" s="68"/>
      <c r="AI49" s="68"/>
      <c r="AJ49" s="68"/>
      <c r="AK49" s="321">
        <f>$BC47*($BJ$9)</f>
        <v>6434919.4910399998</v>
      </c>
      <c r="AL49" s="248"/>
      <c r="AM49" s="248"/>
      <c r="AN49" s="248"/>
      <c r="AO49" s="68"/>
      <c r="AP49" s="68"/>
      <c r="AQ49" s="68"/>
      <c r="AR49" s="321">
        <f>$BD47*($BK$9)</f>
        <v>10295871.185663998</v>
      </c>
      <c r="AS49" s="248"/>
      <c r="AT49" s="248"/>
      <c r="AU49" s="248"/>
      <c r="AV49" s="248"/>
      <c r="AW49" s="248"/>
      <c r="AX49" s="248"/>
      <c r="AY49" s="321">
        <f>$BE47*($BL$9)</f>
        <v>15443806.778495997</v>
      </c>
      <c r="AZ49" s="68"/>
      <c r="BA49" s="1041"/>
      <c r="BB49" s="1038"/>
      <c r="BC49" s="1038"/>
      <c r="BD49" s="1038"/>
      <c r="BE49" s="1038"/>
    </row>
    <row r="50" spans="1:57">
      <c r="B50" s="305" t="s">
        <v>107</v>
      </c>
      <c r="C50" s="313" t="s">
        <v>307</v>
      </c>
      <c r="D50" s="307" t="s">
        <v>297</v>
      </c>
      <c r="E50" s="308">
        <v>22</v>
      </c>
      <c r="F50" s="309"/>
      <c r="G50" s="309"/>
      <c r="H50" s="309">
        <v>6129</v>
      </c>
      <c r="I50" s="310">
        <f t="shared" si="5"/>
        <v>208.23941589166253</v>
      </c>
      <c r="J50" s="322">
        <v>1276299.3799999997</v>
      </c>
      <c r="K50" s="310">
        <v>33</v>
      </c>
      <c r="L50" s="310"/>
      <c r="M50" s="310"/>
      <c r="N50" s="310">
        <v>6634</v>
      </c>
      <c r="O50" s="310">
        <f t="shared" si="7"/>
        <v>195.24678474525194</v>
      </c>
      <c r="P50" s="322">
        <v>1295267.1700000013</v>
      </c>
      <c r="Q50" s="310">
        <v>26</v>
      </c>
      <c r="R50" s="310">
        <f t="shared" si="2"/>
        <v>26</v>
      </c>
      <c r="S50" s="1025"/>
      <c r="T50" s="310"/>
      <c r="U50" s="310">
        <v>2740</v>
      </c>
      <c r="V50" s="310">
        <f t="shared" si="6"/>
        <v>97.918277372262736</v>
      </c>
      <c r="W50" s="322">
        <v>268296.0799999999</v>
      </c>
      <c r="X50" s="310"/>
      <c r="Y50" s="310"/>
      <c r="Z50" s="310"/>
      <c r="AA50" s="307"/>
      <c r="AB50" s="307"/>
      <c r="AC50" s="307"/>
      <c r="AD50" s="322">
        <f>$BB47*($BI$10)</f>
        <v>3574955.2727999985</v>
      </c>
      <c r="AE50" s="310"/>
      <c r="AF50" s="310"/>
      <c r="AG50" s="310"/>
      <c r="AH50" s="307"/>
      <c r="AI50" s="307"/>
      <c r="AJ50" s="307"/>
      <c r="AK50" s="322">
        <f>$BC47*($BJ$10)</f>
        <v>6434919.4910399998</v>
      </c>
      <c r="AL50" s="310"/>
      <c r="AM50" s="310"/>
      <c r="AN50" s="310"/>
      <c r="AO50" s="307"/>
      <c r="AP50" s="307"/>
      <c r="AQ50" s="307"/>
      <c r="AR50" s="322">
        <f>$BD47*($BK$10)</f>
        <v>10295871.185663998</v>
      </c>
      <c r="AS50" s="310"/>
      <c r="AT50" s="310"/>
      <c r="AU50" s="310"/>
      <c r="AV50" s="310"/>
      <c r="AW50" s="310"/>
      <c r="AX50" s="310"/>
      <c r="AY50" s="322">
        <f>$BE47*($BL$10)</f>
        <v>15443806.778495997</v>
      </c>
      <c r="AZ50" s="68"/>
      <c r="BA50" s="1042"/>
      <c r="BB50" s="1039"/>
      <c r="BC50" s="1039"/>
      <c r="BD50" s="1039"/>
      <c r="BE50" s="1039"/>
    </row>
    <row r="51" spans="1:57">
      <c r="A51" s="161"/>
      <c r="B51" s="162" t="s">
        <v>107</v>
      </c>
      <c r="C51" s="161" t="s">
        <v>308</v>
      </c>
      <c r="D51" s="162" t="s">
        <v>294</v>
      </c>
      <c r="E51" s="292">
        <v>48</v>
      </c>
      <c r="F51" s="163"/>
      <c r="G51" s="163">
        <v>816990</v>
      </c>
      <c r="H51" s="163">
        <v>2878</v>
      </c>
      <c r="I51" s="436">
        <f t="shared" si="5"/>
        <v>8145.388634468387</v>
      </c>
      <c r="J51" s="321">
        <v>23442428.490000017</v>
      </c>
      <c r="K51" s="164">
        <v>43</v>
      </c>
      <c r="L51" s="164"/>
      <c r="M51" s="164">
        <v>352475</v>
      </c>
      <c r="N51" s="164">
        <v>1098</v>
      </c>
      <c r="O51" s="436">
        <f t="shared" si="7"/>
        <v>10903.439571949</v>
      </c>
      <c r="P51" s="321">
        <v>11971976.650000002</v>
      </c>
      <c r="Q51" s="164">
        <v>56</v>
      </c>
      <c r="R51" s="286">
        <f t="shared" si="2"/>
        <v>53.16</v>
      </c>
      <c r="S51" s="1027">
        <f>VLOOKUP($C51,[3]Assum!$B$11:$G$22,5,FALSE)*HLOOKUP($B51,[3]Assum!$C$9:$G$10,2,FALSE)*S$55</f>
        <v>2.8400000000000007</v>
      </c>
      <c r="T51" s="164">
        <v>1989205</v>
      </c>
      <c r="U51" s="164">
        <v>4581</v>
      </c>
      <c r="V51" s="164">
        <f t="shared" si="6"/>
        <v>9289.5221480026212</v>
      </c>
      <c r="W51" s="321">
        <v>42555300.960000008</v>
      </c>
      <c r="X51" s="286">
        <f>Y51+Z51</f>
        <v>146.02499999999998</v>
      </c>
      <c r="Y51" s="286">
        <f>SUM(R51:R54)+(Y$56*[3]Assum!$C$37)</f>
        <v>140.38499999999996</v>
      </c>
      <c r="Z51" s="286">
        <f>S51+(Z$57*[3]Assum!$C$27)</f>
        <v>5.6400000000000006</v>
      </c>
      <c r="AA51" s="162"/>
      <c r="AB51" s="162"/>
      <c r="AC51" s="162"/>
      <c r="AD51" s="321">
        <f>$BB51*($BI$7)</f>
        <v>50434292.753600009</v>
      </c>
      <c r="AE51" s="286">
        <f>AF51+AG51</f>
        <v>173.52499999999998</v>
      </c>
      <c r="AF51" s="286">
        <f>Y51+(AF$56*[3]Assum!$D$37)</f>
        <v>164.88499999999996</v>
      </c>
      <c r="AG51" s="286">
        <f>Z51+(AG$57*[3]Assum!$D$27)</f>
        <v>8.64</v>
      </c>
      <c r="AH51" s="162"/>
      <c r="AI51" s="162"/>
      <c r="AJ51" s="162"/>
      <c r="AK51" s="321">
        <f>$BC51*($BJ$7)</f>
        <v>61782008.623159997</v>
      </c>
      <c r="AL51" s="286">
        <f>AM51+AN51</f>
        <v>203.87499999999994</v>
      </c>
      <c r="AM51" s="286">
        <f>AF51+(AM$56*[3]Assum!$E$37)</f>
        <v>191.83499999999995</v>
      </c>
      <c r="AN51" s="286">
        <f>AG51+(AN$57*[3]Assum!$E$27)</f>
        <v>12.040000000000001</v>
      </c>
      <c r="AO51" s="162"/>
      <c r="AP51" s="162"/>
      <c r="AQ51" s="162"/>
      <c r="AR51" s="321">
        <f>$BD51*($BK$7)</f>
        <v>74138410.347792</v>
      </c>
      <c r="AS51" s="286">
        <f>AT51+AU51</f>
        <v>237.24999999999994</v>
      </c>
      <c r="AT51" s="286">
        <f>SUM(AM51:AM54)+(AT$56*[3]Assum!$F$37)</f>
        <v>221.40999999999994</v>
      </c>
      <c r="AU51" s="286">
        <f>AN51+(AU$57*[3]Assum!$E$27)</f>
        <v>15.840000000000002</v>
      </c>
      <c r="AV51" s="286"/>
      <c r="AW51" s="286"/>
      <c r="AX51" s="286"/>
      <c r="AY51" s="321">
        <f>$BE51*($BL$7)</f>
        <v>86494812.072423995</v>
      </c>
      <c r="AZ51" s="68"/>
      <c r="BA51" s="1040">
        <f>SUM(W51:W54)</f>
        <v>45030618.530000009</v>
      </c>
      <c r="BB51" s="1040">
        <f>BA51*(1+[3]Assum!C$53)</f>
        <v>63042865.942000009</v>
      </c>
      <c r="BC51" s="1040">
        <f>BB51*(1+[3]Assum!D$53)</f>
        <v>88260012.318800002</v>
      </c>
      <c r="BD51" s="1040">
        <f>BC51*(1+[3]Assum!E$53)</f>
        <v>123564017.24631999</v>
      </c>
      <c r="BE51" s="1040">
        <f>BD51*(1+[3]Assum!F$53)</f>
        <v>172989624.14484799</v>
      </c>
    </row>
    <row r="52" spans="1:57">
      <c r="A52" s="161"/>
      <c r="B52" s="165" t="s">
        <v>107</v>
      </c>
      <c r="C52" s="170" t="s">
        <v>308</v>
      </c>
      <c r="D52" s="162" t="s">
        <v>295</v>
      </c>
      <c r="E52" s="292">
        <v>15</v>
      </c>
      <c r="F52" s="163"/>
      <c r="G52" s="163"/>
      <c r="H52" s="163">
        <v>43</v>
      </c>
      <c r="I52" s="164">
        <f t="shared" si="5"/>
        <v>10230.134883720928</v>
      </c>
      <c r="J52" s="321">
        <v>439895.79999999987</v>
      </c>
      <c r="K52" s="164">
        <v>11</v>
      </c>
      <c r="L52" s="164"/>
      <c r="M52" s="164"/>
      <c r="N52" s="164">
        <v>29</v>
      </c>
      <c r="O52" s="164">
        <f t="shared" si="7"/>
        <v>11899.041724137929</v>
      </c>
      <c r="P52" s="321">
        <v>345072.20999999996</v>
      </c>
      <c r="Q52" s="164">
        <v>6</v>
      </c>
      <c r="R52" s="286">
        <f t="shared" si="2"/>
        <v>6</v>
      </c>
      <c r="S52" s="1028"/>
      <c r="T52" s="164"/>
      <c r="U52" s="164">
        <v>8</v>
      </c>
      <c r="V52" s="164">
        <f t="shared" si="6"/>
        <v>59313.135000000002</v>
      </c>
      <c r="W52" s="321">
        <v>474505.08</v>
      </c>
      <c r="X52" s="286"/>
      <c r="Y52" s="286"/>
      <c r="Z52" s="286"/>
      <c r="AA52" s="162"/>
      <c r="AB52" s="162"/>
      <c r="AC52" s="162"/>
      <c r="AD52" s="321">
        <f>$BB51*($BI$8)</f>
        <v>4202857.7294666665</v>
      </c>
      <c r="AE52" s="286"/>
      <c r="AF52" s="286"/>
      <c r="AG52" s="286"/>
      <c r="AH52" s="162"/>
      <c r="AI52" s="162"/>
      <c r="AJ52" s="162"/>
      <c r="AK52" s="321">
        <f>$BC51*($BJ$8)</f>
        <v>8826001.2318800017</v>
      </c>
      <c r="AL52" s="286"/>
      <c r="AM52" s="286"/>
      <c r="AN52" s="286"/>
      <c r="AO52" s="162"/>
      <c r="AP52" s="162"/>
      <c r="AQ52" s="162"/>
      <c r="AR52" s="321">
        <f>$BD51*($BK$8)</f>
        <v>16475202.299509332</v>
      </c>
      <c r="AS52" s="286"/>
      <c r="AT52" s="286"/>
      <c r="AU52" s="286"/>
      <c r="AV52" s="286"/>
      <c r="AW52" s="286"/>
      <c r="AX52" s="286"/>
      <c r="AY52" s="321">
        <f>$BE51*($BL$8)</f>
        <v>28831604.02414133</v>
      </c>
      <c r="AZ52" s="68"/>
      <c r="BA52" s="1041"/>
      <c r="BB52" s="1041"/>
      <c r="BC52" s="1041"/>
      <c r="BD52" s="1041"/>
      <c r="BE52" s="1041"/>
    </row>
    <row r="53" spans="1:57">
      <c r="A53" s="161"/>
      <c r="B53" s="165" t="s">
        <v>107</v>
      </c>
      <c r="C53" s="170" t="s">
        <v>308</v>
      </c>
      <c r="D53" s="162" t="s">
        <v>296</v>
      </c>
      <c r="E53" s="292">
        <v>10</v>
      </c>
      <c r="F53" s="163"/>
      <c r="G53" s="163"/>
      <c r="H53" s="163">
        <v>54</v>
      </c>
      <c r="I53" s="164">
        <f t="shared" si="5"/>
        <v>12525.259629629631</v>
      </c>
      <c r="J53" s="321">
        <v>676364.02</v>
      </c>
      <c r="K53" s="164">
        <v>6</v>
      </c>
      <c r="L53" s="164"/>
      <c r="M53" s="164"/>
      <c r="N53" s="164">
        <v>10</v>
      </c>
      <c r="O53" s="164">
        <f t="shared" si="7"/>
        <v>52409.985999999997</v>
      </c>
      <c r="P53" s="321">
        <v>524099.86</v>
      </c>
      <c r="Q53" s="164">
        <v>6</v>
      </c>
      <c r="R53" s="286">
        <f t="shared" si="2"/>
        <v>6</v>
      </c>
      <c r="S53" s="1028"/>
      <c r="T53" s="164"/>
      <c r="U53" s="164">
        <v>6</v>
      </c>
      <c r="V53" s="164">
        <f t="shared" si="6"/>
        <v>31834.048333333336</v>
      </c>
      <c r="W53" s="321">
        <v>191004.29</v>
      </c>
      <c r="X53" s="286"/>
      <c r="Y53" s="286"/>
      <c r="Z53" s="286"/>
      <c r="AA53" s="162"/>
      <c r="AB53" s="162"/>
      <c r="AC53" s="162"/>
      <c r="AD53" s="321">
        <f>$BB51*($BI$9)</f>
        <v>4202857.7294666665</v>
      </c>
      <c r="AE53" s="286"/>
      <c r="AF53" s="286"/>
      <c r="AG53" s="286"/>
      <c r="AH53" s="162"/>
      <c r="AI53" s="162"/>
      <c r="AJ53" s="162"/>
      <c r="AK53" s="321">
        <f>$BC51*($BJ$9)</f>
        <v>8826001.2318800017</v>
      </c>
      <c r="AL53" s="286"/>
      <c r="AM53" s="286"/>
      <c r="AN53" s="286"/>
      <c r="AO53" s="162"/>
      <c r="AP53" s="162"/>
      <c r="AQ53" s="162"/>
      <c r="AR53" s="321">
        <f>$BD51*($BK$9)</f>
        <v>16475202.299509332</v>
      </c>
      <c r="AS53" s="286"/>
      <c r="AT53" s="286"/>
      <c r="AU53" s="286"/>
      <c r="AV53" s="286"/>
      <c r="AW53" s="286"/>
      <c r="AX53" s="286"/>
      <c r="AY53" s="321">
        <f>$BE51*($BL$9)</f>
        <v>28831604.02414133</v>
      </c>
      <c r="AZ53" s="68"/>
      <c r="BA53" s="1041"/>
      <c r="BB53" s="1041"/>
      <c r="BC53" s="1041"/>
      <c r="BD53" s="1041"/>
      <c r="BE53" s="1041"/>
    </row>
    <row r="54" spans="1:57">
      <c r="A54" s="161"/>
      <c r="B54" s="184" t="s">
        <v>107</v>
      </c>
      <c r="C54" s="185" t="s">
        <v>308</v>
      </c>
      <c r="D54" s="186" t="s">
        <v>297</v>
      </c>
      <c r="E54" s="293">
        <v>69</v>
      </c>
      <c r="F54" s="187"/>
      <c r="G54" s="187"/>
      <c r="H54" s="187">
        <v>15732</v>
      </c>
      <c r="I54" s="188">
        <f t="shared" si="5"/>
        <v>300.7056064073227</v>
      </c>
      <c r="J54" s="322">
        <v>4730700.6000000006</v>
      </c>
      <c r="K54" s="188">
        <v>60</v>
      </c>
      <c r="L54" s="188"/>
      <c r="M54" s="188"/>
      <c r="N54" s="188">
        <v>7083</v>
      </c>
      <c r="O54" s="188">
        <f t="shared" si="7"/>
        <v>588.71812508823962</v>
      </c>
      <c r="P54" s="322">
        <v>4169890.4800000009</v>
      </c>
      <c r="Q54" s="188">
        <v>53</v>
      </c>
      <c r="R54" s="188">
        <f t="shared" si="2"/>
        <v>53</v>
      </c>
      <c r="S54" s="1029"/>
      <c r="T54" s="188"/>
      <c r="U54" s="188">
        <v>4403</v>
      </c>
      <c r="V54" s="188">
        <f t="shared" si="6"/>
        <v>411.03979105155565</v>
      </c>
      <c r="W54" s="322">
        <v>1809808.1999999995</v>
      </c>
      <c r="X54" s="188"/>
      <c r="Y54" s="188"/>
      <c r="Z54" s="188"/>
      <c r="AA54" s="186"/>
      <c r="AB54" s="186"/>
      <c r="AC54" s="186"/>
      <c r="AD54" s="322">
        <f>$BB51*($BI$10)</f>
        <v>4202857.7294666665</v>
      </c>
      <c r="AE54" s="188"/>
      <c r="AF54" s="188"/>
      <c r="AG54" s="188"/>
      <c r="AH54" s="186"/>
      <c r="AI54" s="186"/>
      <c r="AJ54" s="186"/>
      <c r="AK54" s="322">
        <f>$BC51*($BJ$10)</f>
        <v>8826001.2318800017</v>
      </c>
      <c r="AL54" s="188"/>
      <c r="AM54" s="188"/>
      <c r="AN54" s="188"/>
      <c r="AO54" s="186"/>
      <c r="AP54" s="186"/>
      <c r="AQ54" s="186"/>
      <c r="AR54" s="322">
        <f>$BD51*($BK$10)</f>
        <v>16475202.299509332</v>
      </c>
      <c r="AS54" s="188"/>
      <c r="AT54" s="188"/>
      <c r="AU54" s="188"/>
      <c r="AV54" s="188"/>
      <c r="AW54" s="188"/>
      <c r="AX54" s="188"/>
      <c r="AY54" s="322">
        <f>$BE51*($BL$10)</f>
        <v>28831604.02414133</v>
      </c>
      <c r="AZ54" s="68"/>
      <c r="BA54" s="1042"/>
      <c r="BB54" s="1042"/>
      <c r="BC54" s="1042"/>
      <c r="BD54" s="1042"/>
      <c r="BE54" s="1042"/>
    </row>
    <row r="55" spans="1:57" ht="22.5" customHeight="1" thickBot="1">
      <c r="B55" s="91" t="s">
        <v>299</v>
      </c>
      <c r="C55" s="106"/>
      <c r="D55" s="91"/>
      <c r="E55" s="314">
        <f>SUM(E7:E54)</f>
        <v>1243</v>
      </c>
      <c r="F55" s="315"/>
      <c r="G55" s="316">
        <f>SUM(G7:G54)</f>
        <v>11677230</v>
      </c>
      <c r="H55" s="316">
        <f>SUM(H7:H54)</f>
        <v>180285</v>
      </c>
      <c r="I55" s="315"/>
      <c r="J55" s="323">
        <f>SUM(J7:J54)</f>
        <v>364811363.77999985</v>
      </c>
      <c r="K55" s="317">
        <f>SUM(K7:K54)</f>
        <v>1094</v>
      </c>
      <c r="L55" s="182"/>
      <c r="M55" s="317">
        <f>SUM(M7:M54)</f>
        <v>11017185</v>
      </c>
      <c r="N55" s="317">
        <f>SUM(N7:N54)</f>
        <v>89855</v>
      </c>
      <c r="O55" s="183"/>
      <c r="P55" s="340">
        <f>SUM(P7:P54)</f>
        <v>376390830.32999998</v>
      </c>
      <c r="Q55" s="317">
        <f>SUM(Q7:Q54)</f>
        <v>1412</v>
      </c>
      <c r="R55" s="317">
        <f>SUM(R7:R54)</f>
        <v>1270.0000000000002</v>
      </c>
      <c r="S55" s="317">
        <f>[3]Assum!C4</f>
        <v>142</v>
      </c>
      <c r="T55" s="183">
        <f>SUM(T7:T54)</f>
        <v>66770700</v>
      </c>
      <c r="U55" s="317">
        <f>SUM(U7:U54)</f>
        <v>157994</v>
      </c>
      <c r="V55" s="317">
        <f>SUM(V7:V54)</f>
        <v>1348093.4095074497</v>
      </c>
      <c r="W55" s="340">
        <f>SUM(W7:W54)</f>
        <v>1343810637.2899997</v>
      </c>
      <c r="X55" s="317">
        <f>[3]Assum!D32</f>
        <v>1553</v>
      </c>
      <c r="Y55" s="317">
        <f>X55-Z55</f>
        <v>1397</v>
      </c>
      <c r="Z55" s="317">
        <f>[3]Assum!D4</f>
        <v>156</v>
      </c>
      <c r="AA55" s="317">
        <f>SUM(AA7:AA54)</f>
        <v>0</v>
      </c>
      <c r="AB55" s="317">
        <f>SUM(AB7:AB54)</f>
        <v>0</v>
      </c>
      <c r="AC55" s="317">
        <f>SUM(AC7:AC54)</f>
        <v>0</v>
      </c>
      <c r="AD55" s="340">
        <f>SUM(AD7:AD54)</f>
        <v>1756813461.6129997</v>
      </c>
      <c r="AE55" s="317">
        <f>[3]Assum!E32</f>
        <v>1708</v>
      </c>
      <c r="AF55" s="317">
        <f>AE55-AG55</f>
        <v>1537</v>
      </c>
      <c r="AG55" s="317">
        <f>[3]Assum!E4</f>
        <v>171</v>
      </c>
      <c r="AH55" s="317">
        <f>SUM(AH7:AH54)</f>
        <v>0</v>
      </c>
      <c r="AI55" s="317">
        <f>SUM(AI7:AI54)</f>
        <v>0</v>
      </c>
      <c r="AJ55" s="317">
        <f>SUM(AJ7:AJ54)</f>
        <v>0</v>
      </c>
      <c r="AK55" s="340">
        <f>SUM(AK7:AK54)</f>
        <v>2299561995.6673021</v>
      </c>
      <c r="AL55" s="317">
        <f>[3]Assum!F32</f>
        <v>1879</v>
      </c>
      <c r="AM55" s="317">
        <f>AL55-AN55</f>
        <v>1691</v>
      </c>
      <c r="AN55" s="317">
        <f>[3]Assum!F4</f>
        <v>188</v>
      </c>
      <c r="AO55" s="317">
        <f>SUM(AO7:AO54)</f>
        <v>0</v>
      </c>
      <c r="AP55" s="317">
        <f>SUM(AP7:AP54)</f>
        <v>0</v>
      </c>
      <c r="AQ55" s="317">
        <f>SUM(AQ7:AQ54)</f>
        <v>0</v>
      </c>
      <c r="AR55" s="340">
        <f>SUM(AR7:AR54)</f>
        <v>2924541017.9019656</v>
      </c>
      <c r="AS55" s="317">
        <f>[3]Assum!G32</f>
        <v>2067</v>
      </c>
      <c r="AT55" s="317">
        <f>AS55-AU55</f>
        <v>1860</v>
      </c>
      <c r="AU55" s="317">
        <f>[3]Assum!G4</f>
        <v>207</v>
      </c>
      <c r="AV55" s="183">
        <f>SUM(AV7:AV54)</f>
        <v>0</v>
      </c>
      <c r="AW55" s="317">
        <f>SUM(AW7:AW54)</f>
        <v>0</v>
      </c>
      <c r="AX55" s="317">
        <f>SUM(AX7:AX54)</f>
        <v>0</v>
      </c>
      <c r="AY55" s="340">
        <f>SUM(AY7:AY54)</f>
        <v>3727168931.6320305</v>
      </c>
      <c r="AZ55" s="280"/>
      <c r="BA55" s="647">
        <f>SUM(BA7:BA54)</f>
        <v>1343810637.29</v>
      </c>
      <c r="BB55" s="647">
        <f>SUM(BB7:BB54)</f>
        <v>1756813461.6129997</v>
      </c>
      <c r="BC55" s="647">
        <f>SUM(BC7:BC54)</f>
        <v>2299561995.6672997</v>
      </c>
      <c r="BD55" s="647">
        <f>SUM(BD7:BD54)</f>
        <v>2924541017.9019647</v>
      </c>
      <c r="BE55" s="648">
        <f>SUM(BE7:BE54)</f>
        <v>3727168931.6320333</v>
      </c>
    </row>
    <row r="56" spans="1:57" ht="13" thickTop="1">
      <c r="B56" s="68" t="s">
        <v>310</v>
      </c>
      <c r="D56" s="369"/>
      <c r="E56" s="158"/>
      <c r="F56" s="157"/>
      <c r="G56" s="158"/>
      <c r="H56" s="158"/>
      <c r="I56" s="157"/>
      <c r="J56" s="295"/>
      <c r="K56" s="295"/>
      <c r="L56" s="300"/>
      <c r="M56" s="295"/>
      <c r="N56" s="295"/>
      <c r="O56" s="295"/>
      <c r="P56" s="295"/>
      <c r="Q56" s="295"/>
      <c r="R56" s="295"/>
      <c r="S56" s="300"/>
      <c r="T56" s="295"/>
      <c r="U56" s="295"/>
      <c r="V56" s="295"/>
      <c r="W56" s="295"/>
      <c r="X56" s="295"/>
      <c r="Y56" s="295">
        <f>Y55-R55</f>
        <v>126.99999999999977</v>
      </c>
      <c r="Z56" s="370"/>
      <c r="AA56" s="371"/>
      <c r="AB56" s="371"/>
      <c r="AC56" s="371"/>
      <c r="AD56" s="371"/>
      <c r="AE56" s="295"/>
      <c r="AF56" s="295">
        <f>AF55-Y55</f>
        <v>140</v>
      </c>
      <c r="AG56" s="370"/>
      <c r="AH56" s="371"/>
      <c r="AI56" s="371"/>
      <c r="AJ56" s="371"/>
      <c r="AK56" s="371"/>
      <c r="AL56" s="295"/>
      <c r="AM56" s="295">
        <f>AM55-AF55</f>
        <v>154</v>
      </c>
      <c r="AN56" s="370"/>
      <c r="AO56" s="371"/>
      <c r="AP56" s="371"/>
      <c r="AQ56" s="371"/>
      <c r="AR56" s="371"/>
      <c r="AS56" s="295"/>
      <c r="AT56" s="295">
        <f>AT55-AM55</f>
        <v>169</v>
      </c>
      <c r="AU56" s="370"/>
      <c r="AV56" s="371"/>
      <c r="AW56" s="371"/>
      <c r="AX56" s="371"/>
      <c r="AY56" s="371"/>
      <c r="AZ56" s="68"/>
      <c r="BA56" s="68"/>
      <c r="BB56" s="285">
        <f>(BB55-BA55)/BA55</f>
        <v>0.30733707031511759</v>
      </c>
      <c r="BC56" s="285">
        <f>(BC55-BB55)/BB55</f>
        <v>0.30893919355329919</v>
      </c>
      <c r="BD56" s="285">
        <f>(BD55-BC55)/BC55</f>
        <v>0.27178176688091638</v>
      </c>
      <c r="BE56" s="285">
        <f>(BE55-BD55)/BD55</f>
        <v>0.27444577074383647</v>
      </c>
    </row>
    <row r="57" spans="1:57">
      <c r="B57" s="68" t="s">
        <v>311</v>
      </c>
      <c r="D57" s="369"/>
      <c r="E57" s="158"/>
      <c r="F57" s="157"/>
      <c r="G57" s="158"/>
      <c r="H57" s="158"/>
      <c r="I57" s="157"/>
      <c r="J57" s="158"/>
      <c r="K57" s="158"/>
      <c r="L57" s="157"/>
      <c r="M57" s="158"/>
      <c r="N57" s="158"/>
      <c r="O57" s="158"/>
      <c r="P57" s="158"/>
      <c r="Q57" s="158"/>
      <c r="R57" s="158"/>
      <c r="S57" s="157"/>
      <c r="T57" s="158"/>
      <c r="U57" s="158"/>
      <c r="V57" s="158"/>
      <c r="W57" s="248"/>
      <c r="X57" s="158"/>
      <c r="Y57" s="158"/>
      <c r="Z57" s="283">
        <f>Z55-S55</f>
        <v>14</v>
      </c>
      <c r="AA57" s="68"/>
      <c r="AB57" s="68"/>
      <c r="AC57" s="68"/>
      <c r="AD57" s="68"/>
      <c r="AE57" s="158"/>
      <c r="AF57" s="158"/>
      <c r="AG57" s="283">
        <f>AG55-Z55</f>
        <v>15</v>
      </c>
      <c r="AH57" s="68"/>
      <c r="AI57" s="68"/>
      <c r="AJ57" s="68"/>
      <c r="AK57" s="68"/>
      <c r="AL57" s="158"/>
      <c r="AM57" s="158"/>
      <c r="AN57" s="283">
        <f>AN55-AG55</f>
        <v>17</v>
      </c>
      <c r="AO57" s="68"/>
      <c r="AP57" s="68"/>
      <c r="AQ57" s="68"/>
      <c r="AR57" s="68"/>
      <c r="AS57" s="158"/>
      <c r="AT57" s="158"/>
      <c r="AU57" s="283">
        <f>AU55-AN55</f>
        <v>19</v>
      </c>
      <c r="AV57" s="68"/>
      <c r="AW57" s="68"/>
      <c r="AX57" s="68"/>
      <c r="AY57" s="68"/>
      <c r="AZ57" s="68"/>
      <c r="BA57" s="68"/>
      <c r="BB57" s="283"/>
    </row>
    <row r="58" spans="1:57" s="273" customFormat="1" ht="15.5">
      <c r="B58" s="272" t="s">
        <v>245</v>
      </c>
      <c r="D58" s="372"/>
      <c r="E58" s="257"/>
      <c r="F58" s="258"/>
      <c r="G58" s="257"/>
      <c r="H58" s="257"/>
      <c r="I58" s="258"/>
      <c r="J58" s="257"/>
      <c r="K58" s="257"/>
      <c r="L58" s="258"/>
      <c r="M58" s="257"/>
      <c r="N58" s="257"/>
      <c r="O58" s="257"/>
      <c r="P58" s="257"/>
      <c r="Q58" s="257"/>
      <c r="R58" s="257"/>
      <c r="S58" s="258"/>
      <c r="T58" s="257"/>
      <c r="U58" s="257"/>
      <c r="V58" s="257"/>
      <c r="W58" s="373"/>
      <c r="X58" s="257"/>
      <c r="Y58" s="257">
        <f>SUM(Y6:Y54)-Y55</f>
        <v>0</v>
      </c>
      <c r="Z58" s="374">
        <f>SUM(Z7:Z54)-Z55</f>
        <v>0</v>
      </c>
      <c r="AA58" s="272"/>
      <c r="AB58" s="272"/>
      <c r="AC58" s="272"/>
      <c r="AD58" s="375">
        <f>AD55-BB55</f>
        <v>0</v>
      </c>
      <c r="AE58" s="257"/>
      <c r="AF58" s="257">
        <f>SUM(AF6:AF54)-AF55</f>
        <v>0</v>
      </c>
      <c r="AG58" s="374">
        <f>SUM(AG7:AG54)-AG55</f>
        <v>0</v>
      </c>
      <c r="AH58" s="272"/>
      <c r="AI58" s="272"/>
      <c r="AJ58" s="272"/>
      <c r="AK58" s="375">
        <f>AK55-BC55</f>
        <v>0</v>
      </c>
      <c r="AL58" s="257"/>
      <c r="AM58" s="257">
        <f>SUM(AM6:AM54)-AM55</f>
        <v>0</v>
      </c>
      <c r="AN58" s="374">
        <f>SUM(AN7:AN54)-AN55</f>
        <v>0</v>
      </c>
      <c r="AO58" s="272"/>
      <c r="AP58" s="272"/>
      <c r="AQ58" s="272"/>
      <c r="AR58" s="375">
        <f>AR55-BD55</f>
        <v>0</v>
      </c>
      <c r="AS58" s="257"/>
      <c r="AT58" s="257">
        <f>SUM(AT6:AT54)-AT55</f>
        <v>0</v>
      </c>
      <c r="AU58" s="374">
        <f>SUM(AU7:AU54)-AU55</f>
        <v>0</v>
      </c>
      <c r="AV58" s="272"/>
      <c r="AW58" s="272"/>
      <c r="AX58" s="272"/>
      <c r="AY58" s="375">
        <f>AY55-BE55</f>
        <v>0</v>
      </c>
      <c r="AZ58" s="272"/>
      <c r="BA58" s="272"/>
      <c r="BB58" s="272"/>
    </row>
    <row r="59" spans="1:57">
      <c r="D59" s="369"/>
      <c r="E59" s="158"/>
      <c r="F59" s="157"/>
      <c r="G59" s="158"/>
      <c r="H59" s="158"/>
      <c r="I59" s="157"/>
      <c r="J59" s="158"/>
      <c r="K59" s="158"/>
      <c r="L59" s="157"/>
      <c r="M59" s="158"/>
      <c r="N59" s="158"/>
      <c r="O59" s="158"/>
      <c r="P59" s="158"/>
      <c r="Q59" s="158"/>
      <c r="R59" s="158"/>
      <c r="S59" s="157"/>
      <c r="T59" s="158"/>
      <c r="U59" s="158"/>
      <c r="V59" s="158"/>
      <c r="W59" s="248"/>
      <c r="X59" s="158"/>
      <c r="Y59" s="158"/>
      <c r="Z59" s="160"/>
      <c r="AA59" s="68"/>
      <c r="AB59" s="68"/>
      <c r="AC59" s="68"/>
      <c r="AD59" s="68"/>
      <c r="AE59" s="158"/>
      <c r="AF59" s="158"/>
      <c r="AG59" s="160"/>
      <c r="AH59" s="68"/>
      <c r="AI59" s="68"/>
      <c r="AJ59" s="68"/>
      <c r="AK59" s="68"/>
      <c r="AL59" s="158"/>
      <c r="AM59" s="158"/>
      <c r="AN59" s="160"/>
      <c r="AO59" s="68"/>
      <c r="AP59" s="68"/>
      <c r="AQ59" s="68"/>
      <c r="AR59" s="68"/>
      <c r="AS59" s="158"/>
      <c r="AT59" s="158"/>
      <c r="AU59" s="160"/>
      <c r="AV59" s="68"/>
      <c r="AW59" s="68"/>
      <c r="AX59" s="68"/>
      <c r="AY59" s="68"/>
      <c r="AZ59" s="68"/>
      <c r="BA59" s="68"/>
      <c r="BB59" s="68"/>
    </row>
    <row r="60" spans="1:57">
      <c r="D60" s="369" t="s">
        <v>312</v>
      </c>
      <c r="E60" s="189"/>
      <c r="F60" s="189"/>
      <c r="G60" s="189"/>
      <c r="H60" s="189"/>
      <c r="I60" s="189"/>
      <c r="J60" s="157">
        <f>J55/E55</f>
        <v>293492.64986323396</v>
      </c>
      <c r="K60" s="157"/>
      <c r="L60" s="157"/>
      <c r="M60" s="157"/>
      <c r="N60" s="157"/>
      <c r="O60" s="157"/>
      <c r="P60" s="157">
        <f>P55/K55</f>
        <v>344050.11913162703</v>
      </c>
      <c r="Q60" s="157"/>
      <c r="R60" s="157"/>
      <c r="T60" s="157"/>
      <c r="U60" s="157"/>
      <c r="V60" s="157"/>
      <c r="W60" s="189">
        <f>W55/Q55</f>
        <v>951707.25020538224</v>
      </c>
      <c r="X60" s="376"/>
      <c r="Y60" s="376"/>
      <c r="AD60" s="189">
        <f>AD55/X55</f>
        <v>1131238.5457907275</v>
      </c>
      <c r="AK60" s="189">
        <f>AK55/AE55</f>
        <v>1346347.7726389356</v>
      </c>
      <c r="AR60" s="189">
        <f>AR55/AL55</f>
        <v>1556434.815275128</v>
      </c>
      <c r="AY60" s="189">
        <f>AY55/AS55</f>
        <v>1803178.0027247365</v>
      </c>
    </row>
    <row r="61" spans="1:57">
      <c r="D61" s="369" t="s">
        <v>313</v>
      </c>
      <c r="E61" s="189"/>
      <c r="F61" s="189"/>
      <c r="G61" s="189"/>
      <c r="H61" s="189"/>
      <c r="I61" s="189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223">
        <f>(W60/J60)^(1/2)-1</f>
        <v>0.80074855196177319</v>
      </c>
      <c r="X61" s="376"/>
      <c r="Y61" s="376"/>
      <c r="AD61" s="155"/>
      <c r="AK61" s="155"/>
      <c r="AR61" s="155"/>
      <c r="AY61" s="155"/>
    </row>
    <row r="62" spans="1:57">
      <c r="D62" s="369"/>
      <c r="E62" s="189"/>
      <c r="F62" s="189"/>
      <c r="G62" s="189"/>
      <c r="H62" s="189"/>
      <c r="I62" s="189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89"/>
      <c r="X62" s="376"/>
      <c r="Y62" s="376"/>
    </row>
    <row r="63" spans="1:57" ht="13">
      <c r="B63" s="368" t="s">
        <v>314</v>
      </c>
      <c r="C63" s="377"/>
      <c r="D63" s="82"/>
      <c r="E63" s="189"/>
      <c r="F63" s="189"/>
      <c r="G63" s="189"/>
      <c r="H63" s="189"/>
      <c r="I63" s="189"/>
      <c r="J63" s="157"/>
      <c r="K63" s="157"/>
      <c r="L63" s="157"/>
      <c r="M63" s="157"/>
      <c r="N63" s="157"/>
      <c r="O63" s="157"/>
      <c r="P63" s="157"/>
      <c r="Q63" s="301"/>
      <c r="R63" s="301"/>
      <c r="S63" s="157"/>
      <c r="T63" s="157"/>
      <c r="U63" s="157"/>
      <c r="V63" s="157"/>
      <c r="W63" s="189"/>
      <c r="X63" s="301"/>
      <c r="Y63" s="301"/>
    </row>
    <row r="64" spans="1:57">
      <c r="E64" s="189"/>
      <c r="F64" s="189"/>
      <c r="G64" s="189"/>
      <c r="H64" s="189"/>
      <c r="I64" s="189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89"/>
    </row>
    <row r="65" spans="2:51" s="54" customFormat="1" ht="13">
      <c r="B65" s="97" t="s">
        <v>316</v>
      </c>
      <c r="C65" s="97"/>
      <c r="D65" s="79"/>
      <c r="E65" s="98"/>
      <c r="F65" s="98"/>
      <c r="G65" s="98"/>
      <c r="H65" s="98"/>
      <c r="I65" s="98"/>
      <c r="J65" s="325"/>
      <c r="K65" s="98"/>
      <c r="L65" s="98"/>
      <c r="M65" s="98"/>
      <c r="N65" s="98"/>
      <c r="O65" s="98"/>
      <c r="P65" s="325"/>
      <c r="Q65" s="98"/>
      <c r="R65" s="98"/>
      <c r="S65" s="98"/>
      <c r="T65" s="98"/>
      <c r="U65" s="99"/>
      <c r="V65" s="98"/>
      <c r="W65" s="325"/>
      <c r="X65" s="97"/>
      <c r="Y65" s="97"/>
      <c r="Z65" s="97"/>
      <c r="AA65" s="97"/>
      <c r="AB65" s="97"/>
      <c r="AC65" s="97"/>
      <c r="AD65" s="342"/>
      <c r="AE65" s="97"/>
      <c r="AF65" s="97"/>
      <c r="AG65" s="97"/>
      <c r="AH65" s="97"/>
      <c r="AI65" s="97"/>
      <c r="AJ65" s="97"/>
      <c r="AK65" s="342"/>
      <c r="AL65" s="97"/>
      <c r="AM65" s="97"/>
      <c r="AN65" s="97"/>
      <c r="AO65" s="97"/>
      <c r="AP65" s="97"/>
      <c r="AQ65" s="97"/>
      <c r="AR65" s="342"/>
      <c r="AS65" s="97"/>
      <c r="AT65" s="97"/>
      <c r="AU65" s="97"/>
      <c r="AV65" s="97"/>
      <c r="AW65" s="97"/>
      <c r="AX65" s="97"/>
      <c r="AY65" s="342"/>
    </row>
    <row r="66" spans="2:51">
      <c r="D66" s="82" t="s">
        <v>294</v>
      </c>
      <c r="E66" s="83"/>
      <c r="F66" s="83"/>
      <c r="G66" s="83">
        <v>300430</v>
      </c>
      <c r="H66" s="83">
        <v>690</v>
      </c>
      <c r="I66" s="84">
        <f>J66/H66</f>
        <v>10595.564</v>
      </c>
      <c r="J66" s="326">
        <v>7310939.1600000001</v>
      </c>
      <c r="K66" s="84"/>
      <c r="L66" s="84"/>
      <c r="M66" s="84">
        <v>33110</v>
      </c>
      <c r="N66" s="84">
        <v>95</v>
      </c>
      <c r="O66" s="84">
        <f>P66/N66</f>
        <v>13516.173684210526</v>
      </c>
      <c r="P66" s="326">
        <v>1284036.5</v>
      </c>
      <c r="Q66" s="84"/>
      <c r="R66" s="84"/>
      <c r="S66" s="84"/>
      <c r="T66" s="84">
        <v>2750</v>
      </c>
      <c r="U66" s="85">
        <v>221</v>
      </c>
      <c r="V66" s="84">
        <f>W66/U66</f>
        <v>859.04058823529408</v>
      </c>
      <c r="W66" s="326">
        <v>189847.97</v>
      </c>
      <c r="X66" s="68"/>
      <c r="Y66" s="68"/>
      <c r="Z66" s="68"/>
      <c r="AA66" s="68"/>
      <c r="AB66" s="68">
        <v>1000</v>
      </c>
      <c r="AC66" s="68">
        <f>575*15</f>
        <v>8625</v>
      </c>
      <c r="AD66" s="343">
        <f>AB66*AC66</f>
        <v>8625000</v>
      </c>
      <c r="AE66" s="68"/>
      <c r="AF66" s="68"/>
      <c r="AG66" s="68"/>
      <c r="AH66" s="68"/>
      <c r="AI66" s="68">
        <f>AB66*1.3</f>
        <v>1300</v>
      </c>
      <c r="AJ66" s="68">
        <v>8000</v>
      </c>
      <c r="AK66" s="343">
        <f>AI66*AJ66</f>
        <v>10400000</v>
      </c>
      <c r="AL66" s="68"/>
      <c r="AM66" s="68"/>
      <c r="AN66" s="68"/>
      <c r="AO66" s="68"/>
      <c r="AP66" s="68">
        <f>AI66*1.3</f>
        <v>1690</v>
      </c>
      <c r="AQ66" s="68">
        <v>7500</v>
      </c>
      <c r="AR66" s="343">
        <f>AP66*AQ66</f>
        <v>12675000</v>
      </c>
      <c r="AS66" s="68"/>
      <c r="AT66" s="68"/>
      <c r="AU66" s="68"/>
      <c r="AV66" s="68"/>
      <c r="AW66" s="68">
        <v>2200</v>
      </c>
      <c r="AX66" s="68">
        <v>7500</v>
      </c>
      <c r="AY66" s="343">
        <f>AW66*AX66</f>
        <v>16500000</v>
      </c>
    </row>
    <row r="67" spans="2:51">
      <c r="D67" s="82" t="s">
        <v>295</v>
      </c>
      <c r="E67" s="83"/>
      <c r="F67" s="83"/>
      <c r="G67" s="83"/>
      <c r="H67" s="83"/>
      <c r="I67" s="83"/>
      <c r="J67" s="326"/>
      <c r="K67" s="84"/>
      <c r="L67" s="84"/>
      <c r="M67" s="84"/>
      <c r="N67" s="84"/>
      <c r="O67" s="84"/>
      <c r="P67" s="326">
        <f>N67*O67</f>
        <v>0</v>
      </c>
      <c r="Q67" s="84"/>
      <c r="R67" s="84"/>
      <c r="S67" s="84"/>
      <c r="T67" s="84"/>
      <c r="U67" s="85"/>
      <c r="V67" s="84"/>
      <c r="W67" s="326">
        <f>U67*V67</f>
        <v>0</v>
      </c>
      <c r="X67" s="68"/>
      <c r="Y67" s="68"/>
      <c r="Z67" s="68"/>
      <c r="AA67" s="68"/>
      <c r="AB67" s="68">
        <v>10</v>
      </c>
      <c r="AC67" s="68">
        <v>50000</v>
      </c>
      <c r="AD67" s="343">
        <f>AB67*AC67</f>
        <v>500000</v>
      </c>
      <c r="AE67" s="68"/>
      <c r="AF67" s="68"/>
      <c r="AG67" s="68"/>
      <c r="AH67" s="68"/>
      <c r="AI67" s="68">
        <f>AB67*1.3</f>
        <v>13</v>
      </c>
      <c r="AJ67" s="68">
        <v>40000</v>
      </c>
      <c r="AK67" s="343">
        <f>AI67*AJ67</f>
        <v>520000</v>
      </c>
      <c r="AL67" s="68"/>
      <c r="AM67" s="68"/>
      <c r="AN67" s="68"/>
      <c r="AO67" s="68"/>
      <c r="AP67" s="714">
        <f>AI67*1.3</f>
        <v>16.900000000000002</v>
      </c>
      <c r="AQ67" s="68">
        <v>35000</v>
      </c>
      <c r="AR67" s="343">
        <f>AP67*AQ67</f>
        <v>591500.00000000012</v>
      </c>
      <c r="AS67" s="68"/>
      <c r="AT67" s="68"/>
      <c r="AU67" s="68"/>
      <c r="AV67" s="68"/>
      <c r="AW67" s="714">
        <v>25</v>
      </c>
      <c r="AX67" s="68">
        <v>35000</v>
      </c>
      <c r="AY67" s="343">
        <f>AW67*AX67</f>
        <v>875000</v>
      </c>
    </row>
    <row r="68" spans="2:51">
      <c r="D68" s="87" t="s">
        <v>296</v>
      </c>
      <c r="E68" s="83"/>
      <c r="F68" s="83"/>
      <c r="G68" s="83"/>
      <c r="H68" s="83">
        <v>275</v>
      </c>
      <c r="I68" s="84">
        <f>J68/H68</f>
        <v>25042.363636363636</v>
      </c>
      <c r="J68" s="327">
        <v>6886650</v>
      </c>
      <c r="K68" s="88"/>
      <c r="L68" s="88"/>
      <c r="M68" s="88"/>
      <c r="N68" s="88">
        <v>254</v>
      </c>
      <c r="O68" s="84">
        <f>P68/N68</f>
        <v>29553.739133858267</v>
      </c>
      <c r="P68" s="327">
        <v>7506649.7400000002</v>
      </c>
      <c r="Q68" s="88"/>
      <c r="R68" s="88"/>
      <c r="S68" s="88"/>
      <c r="T68" s="88"/>
      <c r="U68" s="89"/>
      <c r="V68" s="88"/>
      <c r="W68" s="327">
        <f>U68*V68</f>
        <v>0</v>
      </c>
      <c r="X68" s="90"/>
      <c r="Y68" s="90"/>
      <c r="Z68" s="90"/>
      <c r="AA68" s="90"/>
      <c r="AB68" s="90">
        <v>100</v>
      </c>
      <c r="AC68" s="90">
        <v>15000</v>
      </c>
      <c r="AD68" s="344">
        <f>AB68*AC68</f>
        <v>1500000</v>
      </c>
      <c r="AE68" s="90"/>
      <c r="AF68" s="90"/>
      <c r="AG68" s="90"/>
      <c r="AH68" s="90"/>
      <c r="AI68" s="68">
        <f>AB68*1.3</f>
        <v>130</v>
      </c>
      <c r="AJ68" s="90">
        <v>13000</v>
      </c>
      <c r="AK68" s="344">
        <f>AI68*AJ68</f>
        <v>1690000</v>
      </c>
      <c r="AL68" s="90"/>
      <c r="AM68" s="90"/>
      <c r="AN68" s="90"/>
      <c r="AO68" s="90"/>
      <c r="AP68" s="68">
        <f>AI68*1.3</f>
        <v>169</v>
      </c>
      <c r="AQ68" s="90">
        <v>12000</v>
      </c>
      <c r="AR68" s="344">
        <f>AP68*AQ68</f>
        <v>2028000</v>
      </c>
      <c r="AS68" s="90"/>
      <c r="AT68" s="90"/>
      <c r="AU68" s="90"/>
      <c r="AV68" s="90"/>
      <c r="AW68" s="714">
        <v>225</v>
      </c>
      <c r="AX68" s="90">
        <v>12000</v>
      </c>
      <c r="AY68" s="344">
        <f>AW68*AX68</f>
        <v>2700000</v>
      </c>
    </row>
    <row r="69" spans="2:51">
      <c r="D69" s="68" t="s">
        <v>297</v>
      </c>
      <c r="E69" s="83"/>
      <c r="F69" s="83"/>
      <c r="G69" s="83"/>
      <c r="H69" s="83">
        <v>117</v>
      </c>
      <c r="I69" s="84">
        <f>J69/H69</f>
        <v>18622.625641025643</v>
      </c>
      <c r="J69" s="326">
        <v>2178847.2000000002</v>
      </c>
      <c r="K69" s="84"/>
      <c r="L69" s="84"/>
      <c r="M69" s="84"/>
      <c r="N69" s="84">
        <v>780</v>
      </c>
      <c r="O69" s="84">
        <f>P69/N69</f>
        <v>942.51169230769233</v>
      </c>
      <c r="P69" s="326">
        <v>735159.12</v>
      </c>
      <c r="Q69" s="84"/>
      <c r="R69" s="84"/>
      <c r="S69" s="84"/>
      <c r="T69" s="84"/>
      <c r="U69" s="85">
        <v>3</v>
      </c>
      <c r="V69" s="84">
        <f>W69/U69</f>
        <v>106919.97333333333</v>
      </c>
      <c r="W69" s="326">
        <v>320759.92</v>
      </c>
      <c r="X69" s="68"/>
      <c r="Y69" s="68"/>
      <c r="Z69" s="68"/>
      <c r="AA69" s="68"/>
      <c r="AB69" s="68"/>
      <c r="AC69" s="68"/>
      <c r="AD69" s="343"/>
      <c r="AE69" s="68"/>
      <c r="AF69" s="68"/>
      <c r="AG69" s="68"/>
      <c r="AH69" s="68"/>
      <c r="AI69" s="68"/>
      <c r="AJ69" s="68"/>
      <c r="AK69" s="343"/>
      <c r="AL69" s="68"/>
      <c r="AM69" s="68"/>
      <c r="AN69" s="68"/>
      <c r="AO69" s="68"/>
      <c r="AP69" s="68"/>
      <c r="AQ69" s="68"/>
      <c r="AR69" s="343"/>
      <c r="AS69" s="68"/>
      <c r="AT69" s="68"/>
      <c r="AU69" s="68"/>
      <c r="AV69" s="68"/>
      <c r="AW69" s="68"/>
      <c r="AX69" s="68"/>
      <c r="AY69" s="343"/>
    </row>
    <row r="70" spans="2:51" ht="13" thickBot="1">
      <c r="B70" s="91" t="s">
        <v>299</v>
      </c>
      <c r="C70" s="92"/>
      <c r="D70" s="93"/>
      <c r="E70" s="95"/>
      <c r="F70" s="95"/>
      <c r="G70" s="94">
        <f>SUM(G66:G69)</f>
        <v>300430</v>
      </c>
      <c r="H70" s="94">
        <f>SUM(H66:H69)</f>
        <v>1082</v>
      </c>
      <c r="I70" s="95"/>
      <c r="J70" s="328">
        <f>SUM(J66:J69)</f>
        <v>16376436.359999999</v>
      </c>
      <c r="K70" s="96"/>
      <c r="L70" s="96"/>
      <c r="M70" s="94">
        <f>SUM(M66:M69)</f>
        <v>33110</v>
      </c>
      <c r="N70" s="94">
        <f>SUM(N66:N69)</f>
        <v>1129</v>
      </c>
      <c r="O70" s="96"/>
      <c r="P70" s="328">
        <f>SUM(P66:P69)</f>
        <v>9525845.3599999994</v>
      </c>
      <c r="Q70" s="96"/>
      <c r="R70" s="96"/>
      <c r="S70" s="96"/>
      <c r="T70" s="94">
        <f>SUM(T66:T69)</f>
        <v>2750</v>
      </c>
      <c r="U70" s="94">
        <f>SUM(U66:U69)</f>
        <v>224</v>
      </c>
      <c r="V70" s="96"/>
      <c r="W70" s="328">
        <f>SUM(W66:W69)</f>
        <v>510607.89</v>
      </c>
      <c r="X70" s="91"/>
      <c r="Y70" s="91"/>
      <c r="Z70" s="91"/>
      <c r="AA70" s="91"/>
      <c r="AB70" s="94">
        <f>SUM(AB66:AB69)</f>
        <v>1110</v>
      </c>
      <c r="AC70" s="91"/>
      <c r="AD70" s="345">
        <f>SUM(AD66:AD68)</f>
        <v>10625000</v>
      </c>
      <c r="AE70" s="91"/>
      <c r="AF70" s="91"/>
      <c r="AG70" s="91"/>
      <c r="AH70" s="91"/>
      <c r="AI70" s="94">
        <f>SUM(AI66:AI69)</f>
        <v>1443</v>
      </c>
      <c r="AJ70" s="91"/>
      <c r="AK70" s="345">
        <f>SUM(AK66:AK68)</f>
        <v>12610000</v>
      </c>
      <c r="AL70" s="91"/>
      <c r="AM70" s="91"/>
      <c r="AN70" s="91"/>
      <c r="AO70" s="91"/>
      <c r="AP70" s="94">
        <f>SUM(AP66:AP69)</f>
        <v>1875.9</v>
      </c>
      <c r="AQ70" s="91"/>
      <c r="AR70" s="345">
        <f>SUM(AR66:AR68)</f>
        <v>15294500</v>
      </c>
      <c r="AS70" s="91"/>
      <c r="AT70" s="91"/>
      <c r="AU70" s="91"/>
      <c r="AV70" s="91"/>
      <c r="AW70" s="94">
        <f>SUM(AW66:AW69)</f>
        <v>2450</v>
      </c>
      <c r="AX70" s="91"/>
      <c r="AY70" s="345">
        <f>SUM(AY66:AY68)</f>
        <v>20075000</v>
      </c>
    </row>
    <row r="71" spans="2:51" ht="13" thickTop="1"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247"/>
      <c r="V71" s="189"/>
      <c r="W71" s="189"/>
      <c r="AW71" s="366"/>
      <c r="AY71" s="367"/>
    </row>
    <row r="72" spans="2:51" ht="13">
      <c r="B72" s="368" t="s">
        <v>317</v>
      </c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247"/>
      <c r="V72" s="189"/>
      <c r="W72" s="189"/>
      <c r="AW72" s="366"/>
      <c r="AY72" s="367"/>
    </row>
    <row r="73" spans="2:51"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247"/>
      <c r="V73" s="189"/>
      <c r="W73" s="189"/>
      <c r="AW73" s="366"/>
      <c r="AY73" s="367"/>
    </row>
    <row r="74" spans="2:51" s="54" customFormat="1" ht="13">
      <c r="B74" s="97" t="s">
        <v>318</v>
      </c>
      <c r="C74" s="97"/>
      <c r="D74" s="79"/>
      <c r="E74" s="98"/>
      <c r="F74" s="98"/>
      <c r="G74" s="98"/>
      <c r="H74" s="98"/>
      <c r="I74" s="98"/>
      <c r="J74" s="325"/>
      <c r="K74" s="98"/>
      <c r="L74" s="98"/>
      <c r="M74" s="98"/>
      <c r="N74" s="98"/>
      <c r="O74" s="98"/>
      <c r="P74" s="325"/>
      <c r="Q74" s="98"/>
      <c r="R74" s="98"/>
      <c r="S74" s="98"/>
      <c r="T74" s="98"/>
      <c r="U74" s="99"/>
      <c r="V74" s="98"/>
      <c r="W74" s="325"/>
      <c r="X74" s="97"/>
      <c r="Y74" s="97"/>
      <c r="Z74" s="97"/>
      <c r="AA74" s="97"/>
      <c r="AB74" s="97"/>
      <c r="AC74" s="97"/>
      <c r="AD74" s="342"/>
      <c r="AE74" s="97"/>
      <c r="AF74" s="97"/>
      <c r="AG74" s="97"/>
      <c r="AH74" s="97"/>
      <c r="AI74" s="97"/>
      <c r="AJ74" s="97"/>
      <c r="AK74" s="342"/>
      <c r="AL74" s="97"/>
      <c r="AM74" s="97"/>
      <c r="AN74" s="97"/>
      <c r="AO74" s="97"/>
      <c r="AP74" s="97"/>
      <c r="AQ74" s="97"/>
      <c r="AR74" s="342"/>
      <c r="AS74" s="97"/>
      <c r="AT74" s="97"/>
      <c r="AU74" s="97"/>
      <c r="AV74" s="97"/>
      <c r="AW74" s="100"/>
      <c r="AX74" s="97"/>
      <c r="AY74" s="348"/>
    </row>
    <row r="75" spans="2:51">
      <c r="B75" s="67"/>
      <c r="D75" s="82" t="s">
        <v>294</v>
      </c>
      <c r="E75" s="83"/>
      <c r="F75" s="83"/>
      <c r="G75" s="83">
        <v>345472</v>
      </c>
      <c r="H75" s="83">
        <v>4306</v>
      </c>
      <c r="I75" s="84">
        <f>J75/H75</f>
        <v>2708.4978286112391</v>
      </c>
      <c r="J75" s="326">
        <v>11662791.649999995</v>
      </c>
      <c r="K75" s="84"/>
      <c r="L75" s="84"/>
      <c r="M75" s="84">
        <v>251227</v>
      </c>
      <c r="N75" s="84">
        <v>4542</v>
      </c>
      <c r="O75" s="84">
        <f>P75/N75</f>
        <v>2487.7482034346108</v>
      </c>
      <c r="P75" s="326">
        <v>11299352.340000002</v>
      </c>
      <c r="Q75" s="84"/>
      <c r="R75" s="84"/>
      <c r="S75" s="84"/>
      <c r="T75" s="84">
        <v>975555</v>
      </c>
      <c r="U75" s="85">
        <v>8509</v>
      </c>
      <c r="V75" s="84">
        <f>W75/U75</f>
        <v>3831.1112939240802</v>
      </c>
      <c r="W75" s="326">
        <v>32598926</v>
      </c>
      <c r="X75" s="68"/>
      <c r="Y75" s="68"/>
      <c r="Z75" s="68"/>
      <c r="AA75" s="68"/>
      <c r="AB75" s="68">
        <v>8000</v>
      </c>
      <c r="AC75" s="68">
        <v>5000</v>
      </c>
      <c r="AD75" s="343">
        <f>AB75*AC75</f>
        <v>40000000</v>
      </c>
      <c r="AE75" s="68"/>
      <c r="AF75" s="68"/>
      <c r="AG75" s="68"/>
      <c r="AH75" s="68"/>
      <c r="AI75" s="68">
        <f>AB75*1.3</f>
        <v>10400</v>
      </c>
      <c r="AJ75" s="68">
        <v>5000</v>
      </c>
      <c r="AK75" s="343">
        <f>AI75*AJ75</f>
        <v>52000000</v>
      </c>
      <c r="AL75" s="68"/>
      <c r="AM75" s="68"/>
      <c r="AN75" s="68"/>
      <c r="AO75" s="68"/>
      <c r="AP75" s="68">
        <f>AI75*1.3</f>
        <v>13520</v>
      </c>
      <c r="AQ75" s="68">
        <v>5000</v>
      </c>
      <c r="AR75" s="343">
        <f>AP75*AQ75</f>
        <v>67600000</v>
      </c>
      <c r="AS75" s="68"/>
      <c r="AT75" s="68"/>
      <c r="AU75" s="68"/>
      <c r="AV75" s="68"/>
      <c r="AW75" s="68">
        <f>AP75*1.3</f>
        <v>17576</v>
      </c>
      <c r="AX75" s="68">
        <v>5000</v>
      </c>
      <c r="AY75" s="343">
        <f>AW75*AX75</f>
        <v>87880000</v>
      </c>
    </row>
    <row r="76" spans="2:51">
      <c r="D76" s="82" t="s">
        <v>295</v>
      </c>
      <c r="E76" s="83"/>
      <c r="F76" s="83"/>
      <c r="G76" s="83"/>
      <c r="H76" s="83">
        <v>370</v>
      </c>
      <c r="I76" s="84">
        <f>J76/H76</f>
        <v>3943.4235135135145</v>
      </c>
      <c r="J76" s="326">
        <v>1459066.7000000004</v>
      </c>
      <c r="K76" s="84"/>
      <c r="L76" s="84"/>
      <c r="M76" s="84"/>
      <c r="N76" s="84">
        <v>236</v>
      </c>
      <c r="O76" s="84">
        <f>P76/N76</f>
        <v>6287.8404237288123</v>
      </c>
      <c r="P76" s="326">
        <v>1483930.3399999996</v>
      </c>
      <c r="Q76" s="84"/>
      <c r="R76" s="84"/>
      <c r="S76" s="84"/>
      <c r="T76" s="84"/>
      <c r="U76" s="85">
        <v>232</v>
      </c>
      <c r="V76" s="84">
        <f>W76/U76</f>
        <v>8445.1585344827581</v>
      </c>
      <c r="W76" s="326">
        <v>1959276.78</v>
      </c>
      <c r="X76" s="68"/>
      <c r="Y76" s="68"/>
      <c r="Z76" s="68"/>
      <c r="AA76" s="68"/>
      <c r="AB76" s="68">
        <v>100</v>
      </c>
      <c r="AC76" s="68">
        <v>50000</v>
      </c>
      <c r="AD76" s="343">
        <f>AB76*AC76</f>
        <v>5000000</v>
      </c>
      <c r="AE76" s="68"/>
      <c r="AF76" s="68"/>
      <c r="AG76" s="68"/>
      <c r="AH76" s="68"/>
      <c r="AI76" s="68">
        <f>AB76*1.3</f>
        <v>130</v>
      </c>
      <c r="AJ76" s="68">
        <v>50000</v>
      </c>
      <c r="AK76" s="343">
        <f>AI76*AJ76</f>
        <v>6500000</v>
      </c>
      <c r="AL76" s="68"/>
      <c r="AM76" s="68"/>
      <c r="AN76" s="68"/>
      <c r="AO76" s="68"/>
      <c r="AP76" s="68">
        <f>AI76*1.3</f>
        <v>169</v>
      </c>
      <c r="AQ76" s="68">
        <v>50000</v>
      </c>
      <c r="AR76" s="343">
        <f>AP76*AQ76</f>
        <v>8450000</v>
      </c>
      <c r="AS76" s="68"/>
      <c r="AT76" s="68"/>
      <c r="AU76" s="68"/>
      <c r="AV76" s="68"/>
      <c r="AW76" s="714">
        <f>AP76*1.3</f>
        <v>219.70000000000002</v>
      </c>
      <c r="AX76" s="68">
        <v>50000</v>
      </c>
      <c r="AY76" s="343">
        <f>AW76*AX76</f>
        <v>10985000</v>
      </c>
    </row>
    <row r="77" spans="2:51">
      <c r="D77" s="87" t="s">
        <v>296</v>
      </c>
      <c r="E77" s="83"/>
      <c r="F77" s="83"/>
      <c r="G77" s="83"/>
      <c r="H77" s="83">
        <v>94</v>
      </c>
      <c r="I77" s="84">
        <f>J77/H77</f>
        <v>4962.0971276595747</v>
      </c>
      <c r="J77" s="327">
        <v>466437.13</v>
      </c>
      <c r="K77" s="88"/>
      <c r="L77" s="88"/>
      <c r="M77" s="84"/>
      <c r="N77" s="84">
        <v>2</v>
      </c>
      <c r="O77" s="84">
        <f>P77/N77</f>
        <v>159123.38500000001</v>
      </c>
      <c r="P77" s="326">
        <v>318246.77</v>
      </c>
      <c r="Q77" s="88"/>
      <c r="R77" s="88"/>
      <c r="S77" s="88"/>
      <c r="T77" s="88"/>
      <c r="U77" s="89">
        <v>10</v>
      </c>
      <c r="V77" s="84">
        <f>W77/U77</f>
        <v>64398.976000000002</v>
      </c>
      <c r="W77" s="327">
        <v>643989.76000000001</v>
      </c>
      <c r="X77" s="90"/>
      <c r="Y77" s="90"/>
      <c r="Z77" s="90"/>
      <c r="AA77" s="90"/>
      <c r="AB77" s="90">
        <v>80</v>
      </c>
      <c r="AC77" s="90">
        <v>15000</v>
      </c>
      <c r="AD77" s="344">
        <f>AB77*AC77</f>
        <v>1200000</v>
      </c>
      <c r="AE77" s="90"/>
      <c r="AF77" s="90"/>
      <c r="AG77" s="90"/>
      <c r="AH77" s="90"/>
      <c r="AI77" s="68">
        <f>AB77*1.3</f>
        <v>104</v>
      </c>
      <c r="AJ77" s="90">
        <v>15000</v>
      </c>
      <c r="AK77" s="344">
        <f>AI77*AJ77</f>
        <v>1560000</v>
      </c>
      <c r="AL77" s="90"/>
      <c r="AM77" s="90"/>
      <c r="AN77" s="90"/>
      <c r="AO77" s="90"/>
      <c r="AP77" s="714">
        <f>AI77*1.3</f>
        <v>135.20000000000002</v>
      </c>
      <c r="AQ77" s="90">
        <v>15000</v>
      </c>
      <c r="AR77" s="344">
        <f>AP77*AQ77</f>
        <v>2028000.0000000002</v>
      </c>
      <c r="AS77" s="90"/>
      <c r="AT77" s="90"/>
      <c r="AU77" s="90"/>
      <c r="AV77" s="90"/>
      <c r="AW77" s="714">
        <f>AP77*1.3</f>
        <v>175.76000000000002</v>
      </c>
      <c r="AX77" s="90">
        <v>15000</v>
      </c>
      <c r="AY77" s="344">
        <f>AW77*AX77</f>
        <v>2636400.0000000005</v>
      </c>
    </row>
    <row r="78" spans="2:51">
      <c r="D78" s="68" t="s">
        <v>297</v>
      </c>
      <c r="E78" s="83"/>
      <c r="F78" s="83"/>
      <c r="G78" s="83"/>
      <c r="H78" s="83">
        <v>8374</v>
      </c>
      <c r="I78" s="84">
        <f>J78/H78</f>
        <v>351.65395868163336</v>
      </c>
      <c r="J78" s="326">
        <v>2944750.2499999977</v>
      </c>
      <c r="K78" s="84"/>
      <c r="L78" s="84"/>
      <c r="M78" s="84"/>
      <c r="N78" s="84">
        <v>7260</v>
      </c>
      <c r="O78" s="84">
        <f>P78/N78</f>
        <v>610.74868457300295</v>
      </c>
      <c r="P78" s="326">
        <v>4434035.4500000011</v>
      </c>
      <c r="Q78" s="84"/>
      <c r="R78" s="84"/>
      <c r="S78" s="84"/>
      <c r="T78" s="84"/>
      <c r="U78" s="85">
        <v>75</v>
      </c>
      <c r="V78" s="84">
        <f>W78/U78</f>
        <v>4399.7444000000005</v>
      </c>
      <c r="W78" s="326">
        <v>329980.83</v>
      </c>
      <c r="X78" s="68"/>
      <c r="Y78" s="68"/>
      <c r="Z78" s="68"/>
      <c r="AA78" s="68"/>
      <c r="AB78" s="68"/>
      <c r="AC78" s="68"/>
      <c r="AD78" s="343"/>
      <c r="AE78" s="68"/>
      <c r="AF78" s="68"/>
      <c r="AG78" s="68"/>
      <c r="AH78" s="68"/>
      <c r="AI78" s="68"/>
      <c r="AJ78" s="68"/>
      <c r="AK78" s="343"/>
      <c r="AL78" s="68"/>
      <c r="AM78" s="68"/>
      <c r="AN78" s="68"/>
      <c r="AO78" s="68"/>
      <c r="AP78" s="68"/>
      <c r="AQ78" s="68"/>
      <c r="AR78" s="343"/>
      <c r="AS78" s="68"/>
      <c r="AT78" s="68"/>
      <c r="AU78" s="68"/>
      <c r="AV78" s="68"/>
      <c r="AW78" s="68"/>
      <c r="AX78" s="68"/>
      <c r="AY78" s="343"/>
    </row>
    <row r="79" spans="2:51" ht="13" thickBot="1">
      <c r="B79" s="91" t="s">
        <v>299</v>
      </c>
      <c r="C79" s="92"/>
      <c r="D79" s="93"/>
      <c r="E79" s="95"/>
      <c r="F79" s="95"/>
      <c r="G79" s="94">
        <f>SUM(G75:G78)</f>
        <v>345472</v>
      </c>
      <c r="H79" s="94">
        <f>SUM(H75:H78)</f>
        <v>13144</v>
      </c>
      <c r="I79" s="95"/>
      <c r="J79" s="328">
        <f>SUM(J75:J78)</f>
        <v>16533045.729999995</v>
      </c>
      <c r="K79" s="96"/>
      <c r="L79" s="96"/>
      <c r="M79" s="94">
        <f>SUM(M75:M78)</f>
        <v>251227</v>
      </c>
      <c r="N79" s="94">
        <f>SUM(N75:N78)</f>
        <v>12040</v>
      </c>
      <c r="O79" s="96"/>
      <c r="P79" s="328">
        <f>SUM(P75:P78)</f>
        <v>17535564.900000002</v>
      </c>
      <c r="Q79" s="96"/>
      <c r="R79" s="96"/>
      <c r="S79" s="96"/>
      <c r="T79" s="94">
        <f>SUM(T75:T78)</f>
        <v>975555</v>
      </c>
      <c r="U79" s="94">
        <f>SUM(U75:U78)</f>
        <v>8826</v>
      </c>
      <c r="V79" s="96"/>
      <c r="W79" s="328">
        <f>SUM(W75:W78)</f>
        <v>35532173.369999997</v>
      </c>
      <c r="X79" s="91"/>
      <c r="Y79" s="91"/>
      <c r="Z79" s="91"/>
      <c r="AA79" s="91"/>
      <c r="AB79" s="91"/>
      <c r="AC79" s="91"/>
      <c r="AD79" s="345">
        <f>SUM(AD75:AD77)</f>
        <v>46200000</v>
      </c>
      <c r="AE79" s="91"/>
      <c r="AF79" s="91"/>
      <c r="AG79" s="91"/>
      <c r="AH79" s="91"/>
      <c r="AI79" s="91"/>
      <c r="AJ79" s="91"/>
      <c r="AK79" s="345">
        <f>SUM(AK75:AK77)</f>
        <v>60060000</v>
      </c>
      <c r="AL79" s="91"/>
      <c r="AM79" s="91"/>
      <c r="AN79" s="91"/>
      <c r="AO79" s="91"/>
      <c r="AP79" s="91"/>
      <c r="AQ79" s="91"/>
      <c r="AR79" s="345">
        <f>SUM(AR75:AR77)</f>
        <v>78078000</v>
      </c>
      <c r="AS79" s="91"/>
      <c r="AT79" s="91"/>
      <c r="AU79" s="91"/>
      <c r="AV79" s="91"/>
      <c r="AW79" s="91"/>
      <c r="AX79" s="91"/>
      <c r="AY79" s="345">
        <f>SUM(AY75:AY77)</f>
        <v>101501400</v>
      </c>
    </row>
    <row r="80" spans="2:51" ht="13" thickTop="1"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247"/>
      <c r="V80" s="189"/>
      <c r="W80" s="189"/>
      <c r="AW80" s="366"/>
      <c r="AY80" s="367"/>
    </row>
    <row r="81" spans="2:51" ht="13">
      <c r="B81" s="97" t="s">
        <v>319</v>
      </c>
      <c r="C81" s="101"/>
      <c r="D81" s="102"/>
      <c r="E81" s="103"/>
      <c r="F81" s="103"/>
      <c r="G81" s="103"/>
      <c r="H81" s="103"/>
      <c r="I81" s="103"/>
      <c r="J81" s="329"/>
      <c r="K81" s="103"/>
      <c r="L81" s="103"/>
      <c r="M81" s="103"/>
      <c r="N81" s="103"/>
      <c r="O81" s="103"/>
      <c r="P81" s="329"/>
      <c r="Q81" s="103"/>
      <c r="R81" s="103"/>
      <c r="S81" s="103"/>
      <c r="T81" s="103"/>
      <c r="U81" s="104"/>
      <c r="V81" s="103"/>
      <c r="W81" s="329"/>
      <c r="X81" s="101"/>
      <c r="Y81" s="101"/>
      <c r="Z81" s="101"/>
      <c r="AA81" s="101"/>
      <c r="AB81" s="101"/>
      <c r="AC81" s="101"/>
      <c r="AD81" s="318"/>
      <c r="AE81" s="101"/>
      <c r="AF81" s="101"/>
      <c r="AG81" s="101"/>
      <c r="AH81" s="101"/>
      <c r="AI81" s="101"/>
      <c r="AJ81" s="101"/>
      <c r="AK81" s="318"/>
      <c r="AL81" s="101"/>
      <c r="AM81" s="101"/>
      <c r="AN81" s="101"/>
      <c r="AO81" s="101"/>
      <c r="AP81" s="101"/>
      <c r="AQ81" s="101"/>
      <c r="AR81" s="318"/>
      <c r="AS81" s="101"/>
      <c r="AT81" s="101"/>
      <c r="AU81" s="101"/>
      <c r="AV81" s="101"/>
      <c r="AW81" s="105"/>
      <c r="AX81" s="101"/>
      <c r="AY81" s="347"/>
    </row>
    <row r="82" spans="2:51">
      <c r="B82" s="67"/>
      <c r="D82" s="82" t="s">
        <v>294</v>
      </c>
      <c r="E82" s="83"/>
      <c r="F82" s="83"/>
      <c r="G82" s="83">
        <v>16480</v>
      </c>
      <c r="H82" s="83">
        <v>52</v>
      </c>
      <c r="I82" s="84">
        <f>J82/H82</f>
        <v>14010.588269230766</v>
      </c>
      <c r="J82" s="326">
        <v>728550.58999999985</v>
      </c>
      <c r="K82" s="84"/>
      <c r="L82" s="84"/>
      <c r="M82" s="84">
        <v>2490</v>
      </c>
      <c r="N82" s="84">
        <v>128</v>
      </c>
      <c r="O82" s="84">
        <f>P82/N82</f>
        <v>1197.3353906249999</v>
      </c>
      <c r="P82" s="326">
        <v>153258.93</v>
      </c>
      <c r="Q82" s="84"/>
      <c r="R82" s="84"/>
      <c r="S82" s="84"/>
      <c r="T82" s="84">
        <v>95405</v>
      </c>
      <c r="U82" s="85">
        <v>230</v>
      </c>
      <c r="V82" s="84">
        <f>W82/U82</f>
        <v>9568.7133043478261</v>
      </c>
      <c r="W82" s="326">
        <v>2200804.06</v>
      </c>
      <c r="X82" s="68"/>
      <c r="Y82" s="68"/>
      <c r="Z82" s="68"/>
      <c r="AA82" s="68"/>
      <c r="AB82" s="715">
        <v>600</v>
      </c>
      <c r="AC82" s="68">
        <v>10000</v>
      </c>
      <c r="AD82" s="343">
        <f>AB82*AC82</f>
        <v>6000000</v>
      </c>
      <c r="AE82" s="68"/>
      <c r="AF82" s="68"/>
      <c r="AG82" s="68"/>
      <c r="AH82" s="68"/>
      <c r="AI82" s="715">
        <v>1000</v>
      </c>
      <c r="AJ82" s="68">
        <v>10000</v>
      </c>
      <c r="AK82" s="343">
        <f>AI82*AJ82</f>
        <v>10000000</v>
      </c>
      <c r="AL82" s="68"/>
      <c r="AM82" s="68"/>
      <c r="AN82" s="68"/>
      <c r="AO82" s="68"/>
      <c r="AP82" s="715">
        <v>2000</v>
      </c>
      <c r="AQ82" s="68">
        <v>10000</v>
      </c>
      <c r="AR82" s="343">
        <f>AP82*AQ82</f>
        <v>20000000</v>
      </c>
      <c r="AS82" s="68"/>
      <c r="AT82" s="68"/>
      <c r="AU82" s="68"/>
      <c r="AV82" s="68"/>
      <c r="AW82" s="715">
        <v>2500</v>
      </c>
      <c r="AX82" s="68">
        <v>10000</v>
      </c>
      <c r="AY82" s="343">
        <f>AW82*AX82</f>
        <v>25000000</v>
      </c>
    </row>
    <row r="83" spans="2:51">
      <c r="B83" s="67"/>
      <c r="D83" s="82" t="s">
        <v>295</v>
      </c>
      <c r="E83" s="83"/>
      <c r="F83" s="83"/>
      <c r="G83" s="83"/>
      <c r="H83" s="83">
        <v>20</v>
      </c>
      <c r="I83" s="84">
        <f>J83/H83</f>
        <v>4551.271999999999</v>
      </c>
      <c r="J83" s="326">
        <v>91025.439999999988</v>
      </c>
      <c r="K83" s="84"/>
      <c r="L83" s="84"/>
      <c r="M83" s="84"/>
      <c r="N83" s="84">
        <v>3</v>
      </c>
      <c r="O83" s="84">
        <f>P83/N83</f>
        <v>6355.9333333333334</v>
      </c>
      <c r="P83" s="326">
        <v>19067.8</v>
      </c>
      <c r="Q83" s="84"/>
      <c r="R83" s="84"/>
      <c r="S83" s="84"/>
      <c r="T83" s="84"/>
      <c r="U83" s="85">
        <v>24</v>
      </c>
      <c r="V83" s="84">
        <f>W83/U83</f>
        <v>13050.847916666666</v>
      </c>
      <c r="W83" s="326">
        <v>313220.34999999998</v>
      </c>
      <c r="X83" s="68"/>
      <c r="Y83" s="68"/>
      <c r="Z83" s="68"/>
      <c r="AA83" s="68"/>
      <c r="AB83" s="715">
        <v>50</v>
      </c>
      <c r="AC83" s="68">
        <v>13000</v>
      </c>
      <c r="AD83" s="343">
        <f>AB83*AC83</f>
        <v>650000</v>
      </c>
      <c r="AE83" s="68"/>
      <c r="AF83" s="68"/>
      <c r="AG83" s="68"/>
      <c r="AH83" s="68"/>
      <c r="AI83" s="715">
        <v>50</v>
      </c>
      <c r="AJ83" s="68">
        <v>13000</v>
      </c>
      <c r="AK83" s="343">
        <f>AI83*AJ83</f>
        <v>650000</v>
      </c>
      <c r="AL83" s="68"/>
      <c r="AM83" s="68"/>
      <c r="AN83" s="68"/>
      <c r="AO83" s="68"/>
      <c r="AP83" s="715">
        <v>60</v>
      </c>
      <c r="AQ83" s="68">
        <v>13000</v>
      </c>
      <c r="AR83" s="343">
        <f>AP83*AQ83</f>
        <v>780000</v>
      </c>
      <c r="AS83" s="68"/>
      <c r="AT83" s="68"/>
      <c r="AU83" s="68"/>
      <c r="AV83" s="68"/>
      <c r="AW83" s="715">
        <v>70</v>
      </c>
      <c r="AX83" s="68">
        <v>13000</v>
      </c>
      <c r="AY83" s="343">
        <f>AW83*AX83</f>
        <v>910000</v>
      </c>
    </row>
    <row r="84" spans="2:51">
      <c r="B84" s="67"/>
      <c r="D84" s="87" t="s">
        <v>296</v>
      </c>
      <c r="E84" s="83"/>
      <c r="F84" s="83"/>
      <c r="G84" s="83"/>
      <c r="H84" s="83">
        <v>21</v>
      </c>
      <c r="I84" s="84">
        <f>J84/H84</f>
        <v>6123.89</v>
      </c>
      <c r="J84" s="327">
        <v>128601.69</v>
      </c>
      <c r="K84" s="88"/>
      <c r="L84" s="88"/>
      <c r="M84" s="88"/>
      <c r="N84" s="88"/>
      <c r="O84" s="84"/>
      <c r="P84" s="327">
        <v>0</v>
      </c>
      <c r="Q84" s="88"/>
      <c r="R84" s="88"/>
      <c r="S84" s="88"/>
      <c r="T84" s="88"/>
      <c r="U84" s="89">
        <v>9</v>
      </c>
      <c r="V84" s="84">
        <f>W84/U84</f>
        <v>214376.98444444445</v>
      </c>
      <c r="W84" s="327">
        <v>1929392.86</v>
      </c>
      <c r="X84" s="90"/>
      <c r="Y84" s="90"/>
      <c r="Z84" s="90"/>
      <c r="AA84" s="90"/>
      <c r="AB84" s="715">
        <v>25</v>
      </c>
      <c r="AC84" s="90">
        <v>150000</v>
      </c>
      <c r="AD84" s="344">
        <f>AB84*AC84</f>
        <v>3750000</v>
      </c>
      <c r="AE84" s="90"/>
      <c r="AF84" s="90"/>
      <c r="AG84" s="90"/>
      <c r="AH84" s="90"/>
      <c r="AI84" s="715">
        <v>75</v>
      </c>
      <c r="AJ84" s="90">
        <v>150000</v>
      </c>
      <c r="AK84" s="344">
        <f>AI84*AJ84</f>
        <v>11250000</v>
      </c>
      <c r="AL84" s="90"/>
      <c r="AM84" s="90"/>
      <c r="AN84" s="90"/>
      <c r="AO84" s="90"/>
      <c r="AP84" s="715">
        <v>80</v>
      </c>
      <c r="AQ84" s="90">
        <v>150000</v>
      </c>
      <c r="AR84" s="344">
        <f>AP84*AQ84</f>
        <v>12000000</v>
      </c>
      <c r="AS84" s="90"/>
      <c r="AT84" s="90"/>
      <c r="AU84" s="90"/>
      <c r="AV84" s="90"/>
      <c r="AW84" s="715">
        <v>100</v>
      </c>
      <c r="AX84" s="90">
        <v>150000</v>
      </c>
      <c r="AY84" s="344">
        <f>AW84*AX84</f>
        <v>15000000</v>
      </c>
    </row>
    <row r="85" spans="2:51">
      <c r="B85" s="67"/>
      <c r="D85" s="68" t="s">
        <v>297</v>
      </c>
      <c r="E85" s="83"/>
      <c r="F85" s="83"/>
      <c r="G85" s="83"/>
      <c r="H85" s="83">
        <v>1780</v>
      </c>
      <c r="I85" s="84">
        <f>J85/H85</f>
        <v>71.426393258426941</v>
      </c>
      <c r="J85" s="326">
        <v>127138.97999999995</v>
      </c>
      <c r="K85" s="84"/>
      <c r="L85" s="84"/>
      <c r="M85" s="84"/>
      <c r="N85" s="88">
        <v>228</v>
      </c>
      <c r="O85" s="84">
        <f>P85/N85</f>
        <v>223.80359649122803</v>
      </c>
      <c r="P85" s="327">
        <v>51027.219999999994</v>
      </c>
      <c r="Q85" s="84"/>
      <c r="R85" s="84"/>
      <c r="S85" s="84"/>
      <c r="T85" s="84"/>
      <c r="U85" s="85">
        <v>419</v>
      </c>
      <c r="V85" s="84">
        <f>W85/U85</f>
        <v>1217.4727207637231</v>
      </c>
      <c r="W85" s="326">
        <v>510121.07</v>
      </c>
      <c r="X85" s="68"/>
      <c r="Y85" s="68"/>
      <c r="Z85" s="68"/>
      <c r="AA85" s="68"/>
      <c r="AB85" s="68"/>
      <c r="AC85" s="68"/>
      <c r="AD85" s="343"/>
      <c r="AE85" s="68"/>
      <c r="AF85" s="68"/>
      <c r="AG85" s="68"/>
      <c r="AH85" s="68"/>
      <c r="AI85" s="68"/>
      <c r="AJ85" s="68"/>
      <c r="AK85" s="343"/>
      <c r="AL85" s="68"/>
      <c r="AM85" s="68"/>
      <c r="AN85" s="68"/>
      <c r="AO85" s="68"/>
      <c r="AP85" s="68"/>
      <c r="AQ85" s="68"/>
      <c r="AR85" s="343"/>
      <c r="AS85" s="68"/>
      <c r="AT85" s="68"/>
      <c r="AU85" s="68"/>
      <c r="AV85" s="68"/>
      <c r="AW85" s="68"/>
      <c r="AX85" s="68"/>
      <c r="AY85" s="343"/>
    </row>
    <row r="86" spans="2:51" ht="13" thickBot="1">
      <c r="B86" s="91" t="s">
        <v>299</v>
      </c>
      <c r="C86" s="92"/>
      <c r="D86" s="93"/>
      <c r="E86" s="95"/>
      <c r="F86" s="95"/>
      <c r="G86" s="94">
        <f>SUM(G82:G85)</f>
        <v>16480</v>
      </c>
      <c r="H86" s="94">
        <f>SUM(H82:H85)</f>
        <v>1873</v>
      </c>
      <c r="I86" s="95"/>
      <c r="J86" s="328">
        <f>SUM(J82:J85)</f>
        <v>1075316.6999999997</v>
      </c>
      <c r="K86" s="96"/>
      <c r="L86" s="96"/>
      <c r="M86" s="94">
        <f>SUM(M82:M85)</f>
        <v>2490</v>
      </c>
      <c r="N86" s="94">
        <f>SUM(N82:N85)</f>
        <v>359</v>
      </c>
      <c r="O86" s="96"/>
      <c r="P86" s="328">
        <f>SUM(P82:P85)</f>
        <v>223353.94999999998</v>
      </c>
      <c r="Q86" s="96"/>
      <c r="R86" s="96"/>
      <c r="S86" s="96"/>
      <c r="T86" s="94">
        <f>SUM(T82:T85)</f>
        <v>95405</v>
      </c>
      <c r="U86" s="94">
        <f>SUM(U82:U85)</f>
        <v>682</v>
      </c>
      <c r="V86" s="96"/>
      <c r="W86" s="328">
        <f>SUM(W82:W85)</f>
        <v>4953538.3400000008</v>
      </c>
      <c r="X86" s="91"/>
      <c r="Y86" s="91"/>
      <c r="Z86" s="91"/>
      <c r="AA86" s="91"/>
      <c r="AB86" s="91"/>
      <c r="AC86" s="91"/>
      <c r="AD86" s="345">
        <f>SUM(AD82:AD84)</f>
        <v>10400000</v>
      </c>
      <c r="AE86" s="91"/>
      <c r="AF86" s="91"/>
      <c r="AG86" s="91"/>
      <c r="AH86" s="91"/>
      <c r="AI86" s="91"/>
      <c r="AJ86" s="91"/>
      <c r="AK86" s="345">
        <f>SUM(AK82:AK84)</f>
        <v>21900000</v>
      </c>
      <c r="AL86" s="91"/>
      <c r="AM86" s="91"/>
      <c r="AN86" s="91"/>
      <c r="AO86" s="91"/>
      <c r="AP86" s="91"/>
      <c r="AQ86" s="91"/>
      <c r="AR86" s="345">
        <f>SUM(AR82:AR84)</f>
        <v>32780000</v>
      </c>
      <c r="AS86" s="91"/>
      <c r="AT86" s="91"/>
      <c r="AU86" s="91"/>
      <c r="AV86" s="91"/>
      <c r="AW86" s="91"/>
      <c r="AX86" s="91"/>
      <c r="AY86" s="345">
        <f>SUM(AY82:AY84)</f>
        <v>40910000</v>
      </c>
    </row>
    <row r="87" spans="2:51" ht="13" thickTop="1">
      <c r="B87" s="67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247"/>
      <c r="V87" s="189"/>
      <c r="W87" s="189"/>
      <c r="AW87" s="366"/>
      <c r="AY87" s="367"/>
    </row>
    <row r="88" spans="2:51" ht="13">
      <c r="B88" s="97" t="s">
        <v>320</v>
      </c>
      <c r="C88" s="101"/>
      <c r="D88" s="102"/>
      <c r="E88" s="103"/>
      <c r="F88" s="103"/>
      <c r="G88" s="103"/>
      <c r="H88" s="103"/>
      <c r="I88" s="103"/>
      <c r="J88" s="329"/>
      <c r="K88" s="103"/>
      <c r="L88" s="103"/>
      <c r="M88" s="103"/>
      <c r="N88" s="103"/>
      <c r="O88" s="103"/>
      <c r="P88" s="329"/>
      <c r="Q88" s="103"/>
      <c r="R88" s="103"/>
      <c r="S88" s="103"/>
      <c r="T88" s="103"/>
      <c r="U88" s="104"/>
      <c r="V88" s="103"/>
      <c r="W88" s="329"/>
      <c r="X88" s="101"/>
      <c r="Y88" s="101"/>
      <c r="Z88" s="101"/>
      <c r="AA88" s="101"/>
      <c r="AB88" s="101"/>
      <c r="AC88" s="101"/>
      <c r="AD88" s="318"/>
      <c r="AE88" s="101"/>
      <c r="AF88" s="101"/>
      <c r="AG88" s="101"/>
      <c r="AH88" s="101"/>
      <c r="AI88" s="101"/>
      <c r="AJ88" s="101"/>
      <c r="AK88" s="318"/>
      <c r="AL88" s="101"/>
      <c r="AM88" s="101"/>
      <c r="AN88" s="101"/>
      <c r="AO88" s="101"/>
      <c r="AP88" s="101"/>
      <c r="AQ88" s="101"/>
      <c r="AR88" s="318"/>
      <c r="AS88" s="101"/>
      <c r="AT88" s="101"/>
      <c r="AU88" s="101"/>
      <c r="AV88" s="101"/>
      <c r="AW88" s="105"/>
      <c r="AX88" s="101"/>
      <c r="AY88" s="347"/>
    </row>
    <row r="89" spans="2:51">
      <c r="B89" s="67"/>
      <c r="D89" s="82" t="s">
        <v>294</v>
      </c>
      <c r="E89" s="83"/>
      <c r="F89" s="83"/>
      <c r="G89" s="83">
        <v>2238870</v>
      </c>
      <c r="H89" s="83">
        <v>17928</v>
      </c>
      <c r="I89" s="84">
        <f>J89/H89</f>
        <v>4782.8077733150876</v>
      </c>
      <c r="J89" s="326">
        <v>85746177.759992898</v>
      </c>
      <c r="K89" s="84"/>
      <c r="L89" s="84"/>
      <c r="M89" s="84">
        <v>2122085</v>
      </c>
      <c r="N89" s="84">
        <v>21624</v>
      </c>
      <c r="O89" s="84">
        <f>P89/N89</f>
        <v>3948.9714802994131</v>
      </c>
      <c r="P89" s="326">
        <v>85392559.289994508</v>
      </c>
      <c r="Q89" s="84"/>
      <c r="R89" s="84"/>
      <c r="S89" s="84"/>
      <c r="T89" s="84">
        <v>3880185</v>
      </c>
      <c r="U89" s="85">
        <v>19381</v>
      </c>
      <c r="V89" s="84">
        <f>W89/U89</f>
        <v>5752.9944951240905</v>
      </c>
      <c r="W89" s="326">
        <v>111498786.31</v>
      </c>
      <c r="X89" s="68"/>
      <c r="Y89" s="68"/>
      <c r="Z89" s="68"/>
      <c r="AA89" s="68"/>
      <c r="AB89" s="85">
        <f>U89*1.3</f>
        <v>25195.3</v>
      </c>
      <c r="AC89" s="84">
        <v>7000</v>
      </c>
      <c r="AD89" s="326">
        <f>AC89*AB89</f>
        <v>176367100</v>
      </c>
      <c r="AE89" s="68"/>
      <c r="AF89" s="68"/>
      <c r="AG89" s="68"/>
      <c r="AH89" s="68"/>
      <c r="AI89" s="85">
        <f>AB89*1.3</f>
        <v>32753.89</v>
      </c>
      <c r="AJ89" s="84">
        <v>7000</v>
      </c>
      <c r="AK89" s="326">
        <f>AJ89*AI89</f>
        <v>229277230</v>
      </c>
      <c r="AL89" s="68"/>
      <c r="AM89" s="68"/>
      <c r="AN89" s="68"/>
      <c r="AO89" s="68"/>
      <c r="AP89" s="85">
        <f>AI89*1.3</f>
        <v>42580.057000000001</v>
      </c>
      <c r="AQ89" s="84">
        <v>7000</v>
      </c>
      <c r="AR89" s="326">
        <f>AQ89*AP89</f>
        <v>298060399</v>
      </c>
      <c r="AS89" s="68"/>
      <c r="AT89" s="68"/>
      <c r="AU89" s="68"/>
      <c r="AV89" s="68"/>
      <c r="AW89" s="85">
        <f>AP89*1.3</f>
        <v>55354.074100000005</v>
      </c>
      <c r="AX89" s="84">
        <v>7000</v>
      </c>
      <c r="AY89" s="326">
        <f>AX89*AW89</f>
        <v>387478518.70000005</v>
      </c>
    </row>
    <row r="90" spans="2:51">
      <c r="B90" s="67"/>
      <c r="D90" s="82" t="s">
        <v>295</v>
      </c>
      <c r="E90" s="83"/>
      <c r="F90" s="83"/>
      <c r="G90" s="83"/>
      <c r="H90" s="83">
        <v>647</v>
      </c>
      <c r="I90" s="84">
        <f>J90/H90</f>
        <v>6090.295857805273</v>
      </c>
      <c r="J90" s="326">
        <v>3940421.4200000116</v>
      </c>
      <c r="K90" s="84"/>
      <c r="L90" s="84"/>
      <c r="M90" s="84"/>
      <c r="N90" s="84">
        <v>610</v>
      </c>
      <c r="O90" s="84">
        <f>P90/N90</f>
        <v>6202.6443770491678</v>
      </c>
      <c r="P90" s="326">
        <v>3783613.0699999924</v>
      </c>
      <c r="Q90" s="84"/>
      <c r="R90" s="84"/>
      <c r="S90" s="84"/>
      <c r="T90" s="84"/>
      <c r="U90" s="85">
        <v>245</v>
      </c>
      <c r="V90" s="84">
        <f>W90/U90</f>
        <v>14515.935714285732</v>
      </c>
      <c r="W90" s="326">
        <v>3556404.2500000042</v>
      </c>
      <c r="X90" s="68"/>
      <c r="Y90" s="68"/>
      <c r="Z90" s="68"/>
      <c r="AA90" s="68"/>
      <c r="AB90" s="85">
        <f>U90*1.3</f>
        <v>318.5</v>
      </c>
      <c r="AC90" s="84">
        <v>13000</v>
      </c>
      <c r="AD90" s="326">
        <f>AC90*AB90</f>
        <v>4140500</v>
      </c>
      <c r="AE90" s="68"/>
      <c r="AF90" s="68"/>
      <c r="AG90" s="68"/>
      <c r="AH90" s="68"/>
      <c r="AI90" s="85">
        <f>AB90*1.3</f>
        <v>414.05</v>
      </c>
      <c r="AJ90" s="84">
        <v>13000</v>
      </c>
      <c r="AK90" s="326">
        <f>AJ90*AI90</f>
        <v>5382650</v>
      </c>
      <c r="AL90" s="68"/>
      <c r="AM90" s="68"/>
      <c r="AN90" s="68"/>
      <c r="AO90" s="68"/>
      <c r="AP90" s="85">
        <f>AI90*1.3</f>
        <v>538.26499999999999</v>
      </c>
      <c r="AQ90" s="84">
        <v>13000</v>
      </c>
      <c r="AR90" s="326">
        <f>AQ90*AP90</f>
        <v>6997445</v>
      </c>
      <c r="AS90" s="68"/>
      <c r="AT90" s="68"/>
      <c r="AU90" s="68"/>
      <c r="AV90" s="68"/>
      <c r="AW90" s="85">
        <f>AP90*1.3</f>
        <v>699.74450000000002</v>
      </c>
      <c r="AX90" s="84">
        <v>13000</v>
      </c>
      <c r="AY90" s="326">
        <f>AX90*AW90</f>
        <v>9096678.5</v>
      </c>
    </row>
    <row r="91" spans="2:51">
      <c r="B91" s="67"/>
      <c r="D91" s="87" t="s">
        <v>296</v>
      </c>
      <c r="E91" s="83"/>
      <c r="F91" s="83"/>
      <c r="G91" s="83"/>
      <c r="H91" s="83">
        <v>488</v>
      </c>
      <c r="I91" s="84">
        <f>J91/H91</f>
        <v>10002.45672131149</v>
      </c>
      <c r="J91" s="327">
        <v>4881198.8800000073</v>
      </c>
      <c r="K91" s="88"/>
      <c r="L91" s="88"/>
      <c r="M91" s="88"/>
      <c r="N91" s="88">
        <v>105</v>
      </c>
      <c r="O91" s="84">
        <f>P91/N91</f>
        <v>33919.819047619043</v>
      </c>
      <c r="P91" s="327">
        <v>3561580.9999999995</v>
      </c>
      <c r="Q91" s="88"/>
      <c r="R91" s="88"/>
      <c r="S91" s="88"/>
      <c r="T91" s="88"/>
      <c r="U91" s="89">
        <v>175</v>
      </c>
      <c r="V91" s="84">
        <f>W91/U91</f>
        <v>29075.516514285719</v>
      </c>
      <c r="W91" s="327">
        <v>5088215.3900000006</v>
      </c>
      <c r="X91" s="90"/>
      <c r="Y91" s="90"/>
      <c r="Z91" s="90"/>
      <c r="AA91" s="90"/>
      <c r="AB91" s="85">
        <f>U91*1.3</f>
        <v>227.5</v>
      </c>
      <c r="AC91" s="84">
        <v>25000</v>
      </c>
      <c r="AD91" s="326">
        <f>AC91*AB91</f>
        <v>5687500</v>
      </c>
      <c r="AE91" s="90"/>
      <c r="AF91" s="90"/>
      <c r="AG91" s="90"/>
      <c r="AH91" s="90"/>
      <c r="AI91" s="85">
        <f>AB91*1.3</f>
        <v>295.75</v>
      </c>
      <c r="AJ91" s="84">
        <v>25000</v>
      </c>
      <c r="AK91" s="326">
        <f>AJ91*AI91</f>
        <v>7393750</v>
      </c>
      <c r="AL91" s="90"/>
      <c r="AM91" s="90"/>
      <c r="AN91" s="90"/>
      <c r="AO91" s="90"/>
      <c r="AP91" s="85">
        <f>AI91*1.3</f>
        <v>384.47500000000002</v>
      </c>
      <c r="AQ91" s="84">
        <v>25000</v>
      </c>
      <c r="AR91" s="326">
        <f>AQ91*AP91</f>
        <v>9611875</v>
      </c>
      <c r="AS91" s="90"/>
      <c r="AT91" s="90"/>
      <c r="AU91" s="90"/>
      <c r="AV91" s="90"/>
      <c r="AW91" s="85">
        <f>AP91*1.3</f>
        <v>499.81750000000005</v>
      </c>
      <c r="AX91" s="84">
        <v>25000</v>
      </c>
      <c r="AY91" s="326">
        <f>AX91*AW91</f>
        <v>12495437.500000002</v>
      </c>
    </row>
    <row r="92" spans="2:51">
      <c r="B92" s="67"/>
      <c r="D92" s="68" t="s">
        <v>297</v>
      </c>
      <c r="E92" s="83"/>
      <c r="F92" s="83"/>
      <c r="G92" s="83"/>
      <c r="H92" s="83">
        <v>32070</v>
      </c>
      <c r="I92" s="84">
        <f>J92/H92</f>
        <v>884.79387776740793</v>
      </c>
      <c r="J92" s="326">
        <v>28375339.660000771</v>
      </c>
      <c r="K92" s="84"/>
      <c r="L92" s="84"/>
      <c r="M92" s="84"/>
      <c r="N92" s="84">
        <v>3207</v>
      </c>
      <c r="O92" s="84">
        <f>P92/N92</f>
        <v>11264.531234798886</v>
      </c>
      <c r="P92" s="326">
        <v>36125351.670000024</v>
      </c>
      <c r="Q92" s="84"/>
      <c r="R92" s="84"/>
      <c r="S92" s="84"/>
      <c r="T92" s="84"/>
      <c r="U92" s="85">
        <v>79671</v>
      </c>
      <c r="V92" s="84">
        <f>W92/U92</f>
        <v>121.163011384318</v>
      </c>
      <c r="W92" s="326">
        <v>9653178.2799999993</v>
      </c>
      <c r="X92" s="68"/>
      <c r="Y92" s="68"/>
      <c r="Z92" s="68"/>
      <c r="AA92" s="68"/>
      <c r="AB92" s="85">
        <f>U92*1.3</f>
        <v>103572.3</v>
      </c>
      <c r="AC92" s="84">
        <v>100</v>
      </c>
      <c r="AD92" s="326">
        <f>AC92*AB92</f>
        <v>10357230</v>
      </c>
      <c r="AE92" s="68"/>
      <c r="AF92" s="68"/>
      <c r="AG92" s="68"/>
      <c r="AH92" s="68"/>
      <c r="AI92" s="85">
        <f>AB92*1.3</f>
        <v>134643.99000000002</v>
      </c>
      <c r="AJ92" s="84">
        <v>100</v>
      </c>
      <c r="AK92" s="326">
        <f>AJ92*AI92</f>
        <v>13464399.000000002</v>
      </c>
      <c r="AL92" s="68"/>
      <c r="AM92" s="68"/>
      <c r="AN92" s="68"/>
      <c r="AO92" s="68"/>
      <c r="AP92" s="85">
        <f>AI92*1.3</f>
        <v>175037.18700000003</v>
      </c>
      <c r="AQ92" s="84">
        <v>100</v>
      </c>
      <c r="AR92" s="326">
        <f>AQ92*AP92</f>
        <v>17503718.700000003</v>
      </c>
      <c r="AS92" s="68"/>
      <c r="AT92" s="68"/>
      <c r="AU92" s="68"/>
      <c r="AV92" s="68"/>
      <c r="AW92" s="85">
        <f>AP92*1.3</f>
        <v>227548.34310000006</v>
      </c>
      <c r="AX92" s="84">
        <v>100</v>
      </c>
      <c r="AY92" s="326">
        <f>AX92*AW92</f>
        <v>22754834.310000006</v>
      </c>
    </row>
    <row r="93" spans="2:51" ht="13" thickBot="1">
      <c r="B93" s="91" t="s">
        <v>299</v>
      </c>
      <c r="C93" s="92"/>
      <c r="D93" s="93"/>
      <c r="E93" s="95"/>
      <c r="F93" s="95"/>
      <c r="G93" s="94">
        <f>SUM(G89:G92)</f>
        <v>2238870</v>
      </c>
      <c r="H93" s="94">
        <f>SUM(H89:H92)</f>
        <v>51133</v>
      </c>
      <c r="I93" s="95"/>
      <c r="J93" s="328">
        <f>SUM(J89:J92)</f>
        <v>122943137.7199937</v>
      </c>
      <c r="K93" s="96"/>
      <c r="L93" s="96"/>
      <c r="M93" s="94">
        <f>SUM(M89:M92)</f>
        <v>2122085</v>
      </c>
      <c r="N93" s="94">
        <f>SUM(N89:N92)</f>
        <v>25546</v>
      </c>
      <c r="O93" s="96"/>
      <c r="P93" s="328">
        <f>SUM(P89:P92)</f>
        <v>128863105.02999452</v>
      </c>
      <c r="Q93" s="96"/>
      <c r="R93" s="96"/>
      <c r="S93" s="96"/>
      <c r="T93" s="94">
        <f>SUM(T89:T92)</f>
        <v>3880185</v>
      </c>
      <c r="U93" s="94">
        <f>SUM(U89:U92)</f>
        <v>99472</v>
      </c>
      <c r="V93" s="96"/>
      <c r="W93" s="328">
        <f>SUM(W89:W92)</f>
        <v>129796584.23</v>
      </c>
      <c r="X93" s="91"/>
      <c r="Y93" s="91"/>
      <c r="Z93" s="91"/>
      <c r="AA93" s="91"/>
      <c r="AB93" s="94">
        <f>SUM(AB89:AB92)</f>
        <v>129313.60000000001</v>
      </c>
      <c r="AC93" s="96"/>
      <c r="AD93" s="328">
        <f>SUM(AD89:AD92)</f>
        <v>196552330</v>
      </c>
      <c r="AE93" s="91"/>
      <c r="AF93" s="91"/>
      <c r="AG93" s="91"/>
      <c r="AH93" s="91"/>
      <c r="AI93" s="94">
        <f>SUM(AI89:AI92)</f>
        <v>168107.68000000002</v>
      </c>
      <c r="AJ93" s="96"/>
      <c r="AK93" s="328">
        <f>SUM(AK89:AK92)</f>
        <v>255518029</v>
      </c>
      <c r="AL93" s="91"/>
      <c r="AM93" s="91"/>
      <c r="AN93" s="91"/>
      <c r="AO93" s="91"/>
      <c r="AP93" s="94">
        <f>SUM(AP89:AP92)</f>
        <v>218539.98400000003</v>
      </c>
      <c r="AQ93" s="96"/>
      <c r="AR93" s="328">
        <f>SUM(AR89:AR92)</f>
        <v>332173437.69999999</v>
      </c>
      <c r="AS93" s="91"/>
      <c r="AT93" s="91"/>
      <c r="AU93" s="91"/>
      <c r="AV93" s="91"/>
      <c r="AW93" s="94">
        <f>SUM(AW89:AW92)</f>
        <v>284101.97920000006</v>
      </c>
      <c r="AX93" s="96"/>
      <c r="AY93" s="328">
        <f>SUM(AY89:AY92)</f>
        <v>431825469.01000005</v>
      </c>
    </row>
    <row r="94" spans="2:51" ht="13" thickTop="1">
      <c r="E94" s="189"/>
      <c r="F94" s="189"/>
      <c r="G94" s="189"/>
      <c r="H94" s="189"/>
      <c r="I94" s="189"/>
      <c r="J94" s="330"/>
      <c r="K94" s="248"/>
      <c r="L94" s="248"/>
      <c r="M94" s="248"/>
      <c r="N94" s="248"/>
      <c r="O94" s="248"/>
      <c r="P94" s="330"/>
      <c r="Q94" s="248"/>
      <c r="R94" s="248"/>
      <c r="S94" s="248"/>
      <c r="T94" s="248"/>
      <c r="U94" s="249"/>
      <c r="V94" s="248"/>
      <c r="W94" s="330"/>
      <c r="X94" s="68"/>
      <c r="Y94" s="68"/>
      <c r="Z94" s="68"/>
      <c r="AA94" s="68"/>
      <c r="AB94" s="68"/>
      <c r="AC94" s="68"/>
      <c r="AD94" s="346"/>
      <c r="AE94" s="68"/>
      <c r="AF94" s="68"/>
      <c r="AG94" s="68"/>
      <c r="AH94" s="68"/>
      <c r="AI94" s="68"/>
      <c r="AJ94" s="68"/>
      <c r="AK94" s="346"/>
      <c r="AL94" s="68"/>
      <c r="AM94" s="68"/>
      <c r="AN94" s="68"/>
      <c r="AO94" s="68"/>
      <c r="AP94" s="68"/>
      <c r="AQ94" s="68"/>
      <c r="AR94" s="346"/>
      <c r="AS94" s="68"/>
      <c r="AT94" s="68"/>
      <c r="AU94" s="68"/>
      <c r="AV94" s="68"/>
      <c r="AW94" s="86"/>
      <c r="AX94" s="68"/>
      <c r="AY94" s="343"/>
    </row>
    <row r="95" spans="2:51" s="640" customFormat="1" ht="13.5" thickBot="1">
      <c r="B95" s="637" t="s">
        <v>321</v>
      </c>
      <c r="C95" s="638"/>
      <c r="D95" s="637"/>
      <c r="E95" s="637"/>
      <c r="F95" s="637"/>
      <c r="G95" s="638">
        <f>SUM(G55,G70,G79,G86,G93)</f>
        <v>14578482</v>
      </c>
      <c r="H95" s="638">
        <f>SUM(H55,H70,H79,H86,H93)</f>
        <v>247517</v>
      </c>
      <c r="I95" s="638"/>
      <c r="J95" s="638">
        <f>SUM(J55,J70,J79,J86,J93)</f>
        <v>521739300.28999358</v>
      </c>
      <c r="K95" s="638"/>
      <c r="L95" s="638"/>
      <c r="M95" s="638">
        <f>SUM(M55,M70,M79,M86,M93)</f>
        <v>13426097</v>
      </c>
      <c r="N95" s="638">
        <f>SUM(N55,N70,N79,N86,N93)</f>
        <v>128929</v>
      </c>
      <c r="O95" s="638"/>
      <c r="P95" s="638">
        <f>SUM(P55,P70,P79,P86,P93)</f>
        <v>532538699.56999445</v>
      </c>
      <c r="Q95" s="638"/>
      <c r="R95" s="638"/>
      <c r="S95" s="638"/>
      <c r="T95" s="638">
        <f>SUM(T55,T70,T79,T86,T93)</f>
        <v>71724595</v>
      </c>
      <c r="U95" s="638">
        <f>SUM(U55,U70,U79,U86,U93)</f>
        <v>267198</v>
      </c>
      <c r="V95" s="638"/>
      <c r="W95" s="638">
        <f>SUM(W55,W70,W79,W86,W93)</f>
        <v>1514603541.1199996</v>
      </c>
      <c r="X95" s="638"/>
      <c r="Y95" s="638"/>
      <c r="Z95" s="638"/>
      <c r="AA95" s="638"/>
      <c r="AB95" s="638"/>
      <c r="AC95" s="638"/>
      <c r="AD95" s="638">
        <f>SUM(AD55,AD70,AD79,AD86,AD93)</f>
        <v>2020590791.6129997</v>
      </c>
      <c r="AE95" s="638"/>
      <c r="AF95" s="638"/>
      <c r="AG95" s="638"/>
      <c r="AH95" s="638"/>
      <c r="AI95" s="638"/>
      <c r="AJ95" s="638"/>
      <c r="AK95" s="638">
        <f>SUM(AK55,AK70,AK79,AK86,AK93)</f>
        <v>2649650024.6673021</v>
      </c>
      <c r="AL95" s="638"/>
      <c r="AM95" s="638"/>
      <c r="AN95" s="638"/>
      <c r="AO95" s="638"/>
      <c r="AP95" s="638"/>
      <c r="AQ95" s="638"/>
      <c r="AR95" s="638">
        <f>SUM(AR55,AR70,AR79,AR86,AR93)</f>
        <v>3382866955.6019654</v>
      </c>
      <c r="AS95" s="638"/>
      <c r="AT95" s="638"/>
      <c r="AU95" s="638"/>
      <c r="AV95" s="638"/>
      <c r="AW95" s="639"/>
      <c r="AX95" s="638"/>
      <c r="AY95" s="638">
        <f>SUM(AY55,AY70,AY79,AY86,AY93)</f>
        <v>4321480800.6420307</v>
      </c>
    </row>
    <row r="96" spans="2:51" ht="13" thickTop="1">
      <c r="G96" s="360"/>
      <c r="M96" s="360"/>
      <c r="T96" s="360"/>
    </row>
    <row r="97" spans="2:51" ht="13">
      <c r="D97" s="361" t="s">
        <v>322</v>
      </c>
    </row>
    <row r="98" spans="2:51">
      <c r="B98" s="84"/>
      <c r="C98" s="83"/>
      <c r="D98" s="107" t="s">
        <v>294</v>
      </c>
      <c r="E98" s="108">
        <f t="shared" ref="E98:N101" si="8">SUMIF($D$5:$D$95,$D98,E$5:E$95)</f>
        <v>431</v>
      </c>
      <c r="F98" s="108">
        <f t="shared" si="8"/>
        <v>0</v>
      </c>
      <c r="G98" s="108">
        <f t="shared" si="8"/>
        <v>14578482</v>
      </c>
      <c r="H98" s="108">
        <f t="shared" si="8"/>
        <v>55585</v>
      </c>
      <c r="I98" s="108">
        <f t="shared" si="8"/>
        <v>154597.0836760258</v>
      </c>
      <c r="J98" s="331">
        <f t="shared" si="8"/>
        <v>429417167.61999267</v>
      </c>
      <c r="K98" s="109">
        <f t="shared" si="8"/>
        <v>385</v>
      </c>
      <c r="L98" s="109">
        <f t="shared" si="8"/>
        <v>0</v>
      </c>
      <c r="M98" s="109">
        <f t="shared" si="8"/>
        <v>13426097</v>
      </c>
      <c r="N98" s="109">
        <f t="shared" si="8"/>
        <v>50515</v>
      </c>
      <c r="O98" s="109">
        <f t="shared" ref="O98:X101" si="9">SUMIF($D$5:$D$95,$D98,O$5:O$95)</f>
        <v>175803.89333400741</v>
      </c>
      <c r="P98" s="331">
        <f t="shared" si="9"/>
        <v>433118949.23999441</v>
      </c>
      <c r="Q98" s="109">
        <f t="shared" si="9"/>
        <v>669</v>
      </c>
      <c r="R98" s="109">
        <f t="shared" si="9"/>
        <v>527</v>
      </c>
      <c r="S98" s="109">
        <f t="shared" si="9"/>
        <v>142.00000000000003</v>
      </c>
      <c r="T98" s="109">
        <f t="shared" si="9"/>
        <v>71724595</v>
      </c>
      <c r="U98" s="109">
        <f t="shared" si="9"/>
        <v>158632</v>
      </c>
      <c r="V98" s="109">
        <f t="shared" si="9"/>
        <v>140048.89386806617</v>
      </c>
      <c r="W98" s="331">
        <f t="shared" si="9"/>
        <v>1441605305.4299998</v>
      </c>
      <c r="X98" s="109">
        <f t="shared" si="9"/>
        <v>1552.9999999999995</v>
      </c>
      <c r="Y98" s="109"/>
      <c r="Z98" s="109">
        <f t="shared" ref="Z98:AE101" si="10">SUMIF($D$5:$D$95,$D98,Z$5:Z$95)</f>
        <v>156</v>
      </c>
      <c r="AA98" s="109">
        <f t="shared" si="10"/>
        <v>0</v>
      </c>
      <c r="AB98" s="109">
        <f t="shared" si="10"/>
        <v>34795.300000000003</v>
      </c>
      <c r="AC98" s="109">
        <f t="shared" si="10"/>
        <v>30625</v>
      </c>
      <c r="AD98" s="331">
        <f t="shared" si="10"/>
        <v>1636442869.2904003</v>
      </c>
      <c r="AE98" s="109">
        <f t="shared" si="10"/>
        <v>1707.9999999999995</v>
      </c>
      <c r="AF98" s="109"/>
      <c r="AG98" s="109">
        <f t="shared" ref="AG98:AL101" si="11">SUMIF($D$5:$D$95,$D98,AG$5:AG$95)</f>
        <v>171</v>
      </c>
      <c r="AH98" s="109">
        <f t="shared" si="11"/>
        <v>0</v>
      </c>
      <c r="AI98" s="109">
        <f t="shared" si="11"/>
        <v>45453.89</v>
      </c>
      <c r="AJ98" s="109">
        <f t="shared" si="11"/>
        <v>30000</v>
      </c>
      <c r="AK98" s="331">
        <f t="shared" si="11"/>
        <v>1911370626.9671097</v>
      </c>
      <c r="AL98" s="109">
        <f t="shared" si="11"/>
        <v>1878.9999999999998</v>
      </c>
      <c r="AM98" s="109"/>
      <c r="AN98" s="109">
        <f t="shared" ref="AN98:AS101" si="12">SUMIF($D$5:$D$95,$D98,AN$5:AN$95)</f>
        <v>188.00000000000003</v>
      </c>
      <c r="AO98" s="109">
        <f t="shared" si="12"/>
        <v>0</v>
      </c>
      <c r="AP98" s="109">
        <f t="shared" si="12"/>
        <v>59790.057000000001</v>
      </c>
      <c r="AQ98" s="109">
        <f t="shared" si="12"/>
        <v>29500</v>
      </c>
      <c r="AR98" s="331">
        <f t="shared" si="12"/>
        <v>2153060009.7411785</v>
      </c>
      <c r="AS98" s="109">
        <f t="shared" si="12"/>
        <v>2066.9999999999995</v>
      </c>
      <c r="AT98" s="109"/>
      <c r="AU98" s="109">
        <f t="shared" ref="AU98:AY101" si="13">SUMIF($D$5:$D$95,$D98,AU$5:AU$95)</f>
        <v>207.00000000000003</v>
      </c>
      <c r="AV98" s="109">
        <f t="shared" si="13"/>
        <v>0</v>
      </c>
      <c r="AW98" s="109">
        <f t="shared" si="13"/>
        <v>77630.074099999998</v>
      </c>
      <c r="AX98" s="109">
        <f t="shared" si="13"/>
        <v>29500</v>
      </c>
      <c r="AY98" s="349">
        <f t="shared" si="13"/>
        <v>2380442984.516017</v>
      </c>
    </row>
    <row r="99" spans="2:51">
      <c r="B99" s="84"/>
      <c r="C99" s="83"/>
      <c r="D99" s="110" t="s">
        <v>295</v>
      </c>
      <c r="E99" s="111">
        <f t="shared" si="8"/>
        <v>93</v>
      </c>
      <c r="F99" s="111">
        <f t="shared" si="8"/>
        <v>0</v>
      </c>
      <c r="G99" s="111">
        <f t="shared" si="8"/>
        <v>0</v>
      </c>
      <c r="H99" s="111">
        <f t="shared" si="8"/>
        <v>1299</v>
      </c>
      <c r="I99" s="111">
        <f t="shared" si="8"/>
        <v>72530.060572267976</v>
      </c>
      <c r="J99" s="324">
        <f t="shared" si="8"/>
        <v>6982248.4900000114</v>
      </c>
      <c r="K99" s="112">
        <f t="shared" si="8"/>
        <v>65</v>
      </c>
      <c r="L99" s="112">
        <f t="shared" si="8"/>
        <v>0</v>
      </c>
      <c r="M99" s="112">
        <f t="shared" si="8"/>
        <v>0</v>
      </c>
      <c r="N99" s="112">
        <f t="shared" si="8"/>
        <v>996</v>
      </c>
      <c r="O99" s="112">
        <f t="shared" si="9"/>
        <v>365478.11824491154</v>
      </c>
      <c r="P99" s="324">
        <f t="shared" si="9"/>
        <v>9227930.3499999922</v>
      </c>
      <c r="Q99" s="112">
        <f t="shared" si="9"/>
        <v>55</v>
      </c>
      <c r="R99" s="112">
        <f t="shared" si="9"/>
        <v>55</v>
      </c>
      <c r="S99" s="112">
        <f t="shared" si="9"/>
        <v>0</v>
      </c>
      <c r="T99" s="112">
        <f t="shared" si="9"/>
        <v>0</v>
      </c>
      <c r="U99" s="112">
        <f t="shared" si="9"/>
        <v>601</v>
      </c>
      <c r="V99" s="112">
        <f t="shared" si="9"/>
        <v>831707.06011143641</v>
      </c>
      <c r="W99" s="324">
        <f t="shared" si="9"/>
        <v>12448382.660000004</v>
      </c>
      <c r="X99" s="112">
        <f t="shared" si="9"/>
        <v>0</v>
      </c>
      <c r="Y99" s="112"/>
      <c r="Z99" s="112">
        <f t="shared" si="10"/>
        <v>0</v>
      </c>
      <c r="AA99" s="112">
        <f t="shared" si="10"/>
        <v>0</v>
      </c>
      <c r="AB99" s="112">
        <f t="shared" si="10"/>
        <v>478.5</v>
      </c>
      <c r="AC99" s="112">
        <f t="shared" si="10"/>
        <v>126000</v>
      </c>
      <c r="AD99" s="324">
        <f t="shared" si="10"/>
        <v>127411397.44086665</v>
      </c>
      <c r="AE99" s="112">
        <f t="shared" si="10"/>
        <v>0</v>
      </c>
      <c r="AF99" s="112"/>
      <c r="AG99" s="112">
        <f t="shared" si="11"/>
        <v>0</v>
      </c>
      <c r="AH99" s="112">
        <f t="shared" si="11"/>
        <v>0</v>
      </c>
      <c r="AI99" s="112">
        <f t="shared" si="11"/>
        <v>607.04999999999995</v>
      </c>
      <c r="AJ99" s="112">
        <f t="shared" si="11"/>
        <v>116000</v>
      </c>
      <c r="AK99" s="324">
        <f t="shared" si="11"/>
        <v>243008849.56673005</v>
      </c>
      <c r="AL99" s="112">
        <f t="shared" si="11"/>
        <v>0</v>
      </c>
      <c r="AM99" s="112"/>
      <c r="AN99" s="112">
        <f t="shared" si="12"/>
        <v>0</v>
      </c>
      <c r="AO99" s="112">
        <f t="shared" si="12"/>
        <v>0</v>
      </c>
      <c r="AP99" s="112">
        <f t="shared" si="12"/>
        <v>784.16499999999996</v>
      </c>
      <c r="AQ99" s="112">
        <f t="shared" si="12"/>
        <v>111000</v>
      </c>
      <c r="AR99" s="324">
        <f t="shared" si="12"/>
        <v>406757747.38692874</v>
      </c>
      <c r="AS99" s="112">
        <f t="shared" si="12"/>
        <v>0</v>
      </c>
      <c r="AT99" s="112"/>
      <c r="AU99" s="112">
        <f t="shared" si="13"/>
        <v>0</v>
      </c>
      <c r="AV99" s="112">
        <f t="shared" si="13"/>
        <v>0</v>
      </c>
      <c r="AW99" s="112">
        <f t="shared" si="13"/>
        <v>1014.4445000000001</v>
      </c>
      <c r="AX99" s="112">
        <f t="shared" si="13"/>
        <v>111000</v>
      </c>
      <c r="AY99" s="350">
        <f t="shared" si="13"/>
        <v>643061500.43867207</v>
      </c>
    </row>
    <row r="100" spans="2:51">
      <c r="B100" s="84"/>
      <c r="C100" s="83"/>
      <c r="D100" s="113" t="s">
        <v>296</v>
      </c>
      <c r="E100" s="111">
        <f t="shared" si="8"/>
        <v>103</v>
      </c>
      <c r="F100" s="111">
        <f t="shared" si="8"/>
        <v>0</v>
      </c>
      <c r="G100" s="111">
        <f t="shared" si="8"/>
        <v>0</v>
      </c>
      <c r="H100" s="111">
        <f t="shared" si="8"/>
        <v>1817</v>
      </c>
      <c r="I100" s="111">
        <f t="shared" si="8"/>
        <v>124277.70350684381</v>
      </c>
      <c r="J100" s="324">
        <f t="shared" si="8"/>
        <v>18241027.820000008</v>
      </c>
      <c r="K100" s="112">
        <f t="shared" si="8"/>
        <v>113</v>
      </c>
      <c r="L100" s="112">
        <f t="shared" si="8"/>
        <v>0</v>
      </c>
      <c r="M100" s="112">
        <f t="shared" si="8"/>
        <v>0</v>
      </c>
      <c r="N100" s="112">
        <f t="shared" si="8"/>
        <v>675</v>
      </c>
      <c r="O100" s="112">
        <f t="shared" si="9"/>
        <v>684047.92740259471</v>
      </c>
      <c r="P100" s="324">
        <f t="shared" si="9"/>
        <v>22784436.18</v>
      </c>
      <c r="Q100" s="112">
        <f t="shared" si="9"/>
        <v>181</v>
      </c>
      <c r="R100" s="112">
        <f t="shared" si="9"/>
        <v>181</v>
      </c>
      <c r="S100" s="112">
        <f t="shared" si="9"/>
        <v>0</v>
      </c>
      <c r="T100" s="112">
        <f t="shared" si="9"/>
        <v>0</v>
      </c>
      <c r="U100" s="112">
        <f t="shared" si="9"/>
        <v>1022</v>
      </c>
      <c r="V100" s="112">
        <f t="shared" si="9"/>
        <v>734920.85898174741</v>
      </c>
      <c r="W100" s="324">
        <f t="shared" si="9"/>
        <v>36277073.219999999</v>
      </c>
      <c r="X100" s="112">
        <f t="shared" si="9"/>
        <v>0</v>
      </c>
      <c r="Y100" s="112"/>
      <c r="Z100" s="112">
        <f t="shared" si="10"/>
        <v>0</v>
      </c>
      <c r="AA100" s="112">
        <f t="shared" si="10"/>
        <v>0</v>
      </c>
      <c r="AB100" s="112">
        <f t="shared" si="10"/>
        <v>432.5</v>
      </c>
      <c r="AC100" s="112">
        <f t="shared" si="10"/>
        <v>205000</v>
      </c>
      <c r="AD100" s="324">
        <f t="shared" si="10"/>
        <v>129258397.44086665</v>
      </c>
      <c r="AE100" s="112">
        <f t="shared" si="10"/>
        <v>0</v>
      </c>
      <c r="AF100" s="112"/>
      <c r="AG100" s="112">
        <f t="shared" si="11"/>
        <v>0</v>
      </c>
      <c r="AH100" s="112">
        <f t="shared" si="11"/>
        <v>0</v>
      </c>
      <c r="AI100" s="112">
        <f t="shared" si="11"/>
        <v>604.75</v>
      </c>
      <c r="AJ100" s="112">
        <f t="shared" si="11"/>
        <v>203000</v>
      </c>
      <c r="AK100" s="324">
        <f t="shared" si="11"/>
        <v>251849949.56673005</v>
      </c>
      <c r="AL100" s="112">
        <f t="shared" si="11"/>
        <v>0</v>
      </c>
      <c r="AM100" s="112"/>
      <c r="AN100" s="112">
        <f t="shared" si="12"/>
        <v>0</v>
      </c>
      <c r="AO100" s="112">
        <f t="shared" si="12"/>
        <v>0</v>
      </c>
      <c r="AP100" s="112">
        <f t="shared" si="12"/>
        <v>768.67500000000007</v>
      </c>
      <c r="AQ100" s="112">
        <f t="shared" si="12"/>
        <v>202000</v>
      </c>
      <c r="AR100" s="324">
        <f t="shared" si="12"/>
        <v>415606677.38692874</v>
      </c>
      <c r="AS100" s="112">
        <f t="shared" si="12"/>
        <v>0</v>
      </c>
      <c r="AT100" s="112"/>
      <c r="AU100" s="112">
        <f t="shared" si="13"/>
        <v>0</v>
      </c>
      <c r="AV100" s="112">
        <f t="shared" si="13"/>
        <v>0</v>
      </c>
      <c r="AW100" s="112">
        <f t="shared" si="13"/>
        <v>1000.5775000000001</v>
      </c>
      <c r="AX100" s="112">
        <f t="shared" si="13"/>
        <v>202000</v>
      </c>
      <c r="AY100" s="350">
        <f t="shared" si="13"/>
        <v>654026659.43867207</v>
      </c>
    </row>
    <row r="101" spans="2:51">
      <c r="B101" s="84"/>
      <c r="C101" s="83"/>
      <c r="D101" s="159" t="s">
        <v>297</v>
      </c>
      <c r="E101" s="114">
        <f t="shared" si="8"/>
        <v>616</v>
      </c>
      <c r="F101" s="114">
        <f t="shared" si="8"/>
        <v>0</v>
      </c>
      <c r="G101" s="114">
        <f t="shared" si="8"/>
        <v>0</v>
      </c>
      <c r="H101" s="114">
        <f t="shared" si="8"/>
        <v>188816</v>
      </c>
      <c r="I101" s="114">
        <f t="shared" si="8"/>
        <v>22980.913833819017</v>
      </c>
      <c r="J101" s="332">
        <f t="shared" si="8"/>
        <v>67098856.360000789</v>
      </c>
      <c r="K101" s="115">
        <f t="shared" si="8"/>
        <v>531</v>
      </c>
      <c r="L101" s="115">
        <f t="shared" si="8"/>
        <v>0</v>
      </c>
      <c r="M101" s="115">
        <f t="shared" si="8"/>
        <v>0</v>
      </c>
      <c r="N101" s="115">
        <f t="shared" si="8"/>
        <v>76743</v>
      </c>
      <c r="O101" s="115">
        <f t="shared" si="9"/>
        <v>19804.268147883275</v>
      </c>
      <c r="P101" s="332">
        <f t="shared" si="9"/>
        <v>67407383.800000057</v>
      </c>
      <c r="Q101" s="115">
        <f t="shared" si="9"/>
        <v>507</v>
      </c>
      <c r="R101" s="115">
        <f t="shared" si="9"/>
        <v>507</v>
      </c>
      <c r="S101" s="115">
        <f t="shared" si="9"/>
        <v>0</v>
      </c>
      <c r="T101" s="115">
        <f t="shared" si="9"/>
        <v>0</v>
      </c>
      <c r="U101" s="115">
        <f t="shared" si="9"/>
        <v>106943</v>
      </c>
      <c r="V101" s="115">
        <f t="shared" si="9"/>
        <v>117950.22881747709</v>
      </c>
      <c r="W101" s="332">
        <f t="shared" si="9"/>
        <v>24272779.809999995</v>
      </c>
      <c r="X101" s="115">
        <f t="shared" si="9"/>
        <v>0</v>
      </c>
      <c r="Y101" s="115"/>
      <c r="Z101" s="115">
        <f t="shared" si="10"/>
        <v>0</v>
      </c>
      <c r="AA101" s="115">
        <f t="shared" si="10"/>
        <v>0</v>
      </c>
      <c r="AB101" s="115">
        <f t="shared" si="10"/>
        <v>103572.3</v>
      </c>
      <c r="AC101" s="115">
        <f t="shared" si="10"/>
        <v>100</v>
      </c>
      <c r="AD101" s="332">
        <f t="shared" si="10"/>
        <v>127478127.44086665</v>
      </c>
      <c r="AE101" s="115">
        <f t="shared" si="10"/>
        <v>0</v>
      </c>
      <c r="AF101" s="115"/>
      <c r="AG101" s="115">
        <f t="shared" si="11"/>
        <v>0</v>
      </c>
      <c r="AH101" s="115">
        <f t="shared" si="11"/>
        <v>0</v>
      </c>
      <c r="AI101" s="115">
        <f t="shared" si="11"/>
        <v>134643.99000000002</v>
      </c>
      <c r="AJ101" s="115">
        <f t="shared" si="11"/>
        <v>100</v>
      </c>
      <c r="AK101" s="332">
        <f t="shared" si="11"/>
        <v>243420598.56673005</v>
      </c>
      <c r="AL101" s="115">
        <f t="shared" si="11"/>
        <v>0</v>
      </c>
      <c r="AM101" s="115"/>
      <c r="AN101" s="115">
        <f t="shared" si="12"/>
        <v>0</v>
      </c>
      <c r="AO101" s="115">
        <f t="shared" si="12"/>
        <v>0</v>
      </c>
      <c r="AP101" s="115">
        <f t="shared" si="12"/>
        <v>175037.18700000003</v>
      </c>
      <c r="AQ101" s="115">
        <f t="shared" si="12"/>
        <v>100</v>
      </c>
      <c r="AR101" s="332">
        <f t="shared" si="12"/>
        <v>407442521.08692873</v>
      </c>
      <c r="AS101" s="115">
        <f t="shared" si="12"/>
        <v>0</v>
      </c>
      <c r="AT101" s="115"/>
      <c r="AU101" s="115">
        <f t="shared" si="13"/>
        <v>0</v>
      </c>
      <c r="AV101" s="115">
        <f t="shared" si="13"/>
        <v>0</v>
      </c>
      <c r="AW101" s="115">
        <f t="shared" si="13"/>
        <v>227548.34310000006</v>
      </c>
      <c r="AX101" s="115">
        <f t="shared" si="13"/>
        <v>100</v>
      </c>
      <c r="AY101" s="351">
        <f t="shared" si="13"/>
        <v>643949656.24867213</v>
      </c>
    </row>
    <row r="102" spans="2:51" ht="13.5" thickBot="1">
      <c r="B102" s="84"/>
      <c r="C102" s="83"/>
      <c r="D102" s="116" t="s">
        <v>323</v>
      </c>
      <c r="E102" s="117">
        <f>SUM(E98:E101)</f>
        <v>1243</v>
      </c>
      <c r="F102" s="117">
        <f>SUM(F98:F101)</f>
        <v>0</v>
      </c>
      <c r="G102" s="117"/>
      <c r="H102" s="118"/>
      <c r="I102" s="118"/>
      <c r="J102" s="333">
        <f>SUM(J98:J101)</f>
        <v>521739300.28999346</v>
      </c>
      <c r="K102" s="117">
        <f>SUM(K98:K101)</f>
        <v>1094</v>
      </c>
      <c r="L102" s="117">
        <f>SUM(L98:L101)</f>
        <v>0</v>
      </c>
      <c r="M102" s="118"/>
      <c r="N102" s="118"/>
      <c r="O102" s="118"/>
      <c r="P102" s="333">
        <f>SUM(P98:P101)</f>
        <v>532538699.56999445</v>
      </c>
      <c r="Q102" s="117">
        <f>SUM(Q98:Q101)</f>
        <v>1412</v>
      </c>
      <c r="R102" s="117">
        <f>SUM(R98:R101)</f>
        <v>1270</v>
      </c>
      <c r="S102" s="118">
        <f>SUM(S98:S101)</f>
        <v>142.00000000000003</v>
      </c>
      <c r="T102" s="118"/>
      <c r="U102" s="118"/>
      <c r="V102" s="118"/>
      <c r="W102" s="333">
        <f>SUM(W98:W101)</f>
        <v>1514603541.1199999</v>
      </c>
      <c r="X102" s="117">
        <f>SUM(X98:X101)</f>
        <v>1552.9999999999995</v>
      </c>
      <c r="Y102" s="117">
        <f>SUM(Y98:Y101)</f>
        <v>0</v>
      </c>
      <c r="Z102" s="118">
        <f>SUM(Z98:Z101)</f>
        <v>156</v>
      </c>
      <c r="AA102" s="118"/>
      <c r="AB102" s="118"/>
      <c r="AC102" s="118"/>
      <c r="AD102" s="333">
        <f>SUM(AD98:AD101)</f>
        <v>2020590791.6130004</v>
      </c>
      <c r="AE102" s="117">
        <f>SUM(AE98:AE101)</f>
        <v>1707.9999999999995</v>
      </c>
      <c r="AF102" s="117">
        <f>SUM(AF98:AF101)</f>
        <v>0</v>
      </c>
      <c r="AG102" s="118">
        <f>SUM(AG98:AG101)</f>
        <v>171</v>
      </c>
      <c r="AH102" s="118"/>
      <c r="AI102" s="118"/>
      <c r="AJ102" s="118"/>
      <c r="AK102" s="333">
        <f>SUM(AK98:AK101)</f>
        <v>2649650024.6672997</v>
      </c>
      <c r="AL102" s="117">
        <f>SUM(AL98:AL101)</f>
        <v>1878.9999999999998</v>
      </c>
      <c r="AM102" s="117">
        <f>SUM(AM98:AM101)</f>
        <v>0</v>
      </c>
      <c r="AN102" s="118">
        <f>SUM(AN98:AN101)</f>
        <v>188.00000000000003</v>
      </c>
      <c r="AO102" s="118"/>
      <c r="AP102" s="118"/>
      <c r="AQ102" s="118"/>
      <c r="AR102" s="333">
        <f>SUM(AR98:AR101)</f>
        <v>3382866955.6019645</v>
      </c>
      <c r="AS102" s="117">
        <f>SUM(AS98:AS101)</f>
        <v>2066.9999999999995</v>
      </c>
      <c r="AT102" s="117"/>
      <c r="AU102" s="117">
        <f>SUM(AU98:AU101)</f>
        <v>207.00000000000003</v>
      </c>
      <c r="AV102" s="118">
        <f>SUM(AV98:AV101)</f>
        <v>0</v>
      </c>
      <c r="AW102" s="118"/>
      <c r="AX102" s="118"/>
      <c r="AY102" s="352">
        <f>SUM(AY98:AY101)</f>
        <v>4321480800.6420336</v>
      </c>
    </row>
    <row r="103" spans="2:51" ht="13" thickTop="1">
      <c r="D103" s="226" t="s">
        <v>176</v>
      </c>
      <c r="E103" s="226"/>
      <c r="F103" s="226"/>
      <c r="G103" s="226"/>
      <c r="H103" s="180"/>
      <c r="I103" s="180"/>
      <c r="J103" s="180">
        <f>J102-J95</f>
        <v>0</v>
      </c>
      <c r="K103" s="180"/>
      <c r="L103" s="180"/>
      <c r="M103" s="180"/>
      <c r="N103" s="180"/>
      <c r="O103" s="180"/>
      <c r="P103" s="180">
        <f>P102-P95</f>
        <v>0</v>
      </c>
      <c r="Q103" s="180"/>
      <c r="R103" s="180"/>
      <c r="S103" s="180"/>
      <c r="T103" s="180"/>
      <c r="U103" s="180"/>
      <c r="V103" s="180"/>
      <c r="W103" s="180">
        <f>W102-W95</f>
        <v>0</v>
      </c>
      <c r="X103" s="180"/>
      <c r="Y103" s="180"/>
      <c r="Z103" s="180"/>
      <c r="AA103" s="180"/>
      <c r="AB103" s="180"/>
      <c r="AC103" s="180"/>
      <c r="AD103" s="180"/>
      <c r="AE103" s="180"/>
      <c r="AF103" s="180"/>
      <c r="AG103" s="180"/>
      <c r="AH103" s="180"/>
      <c r="AI103" s="180"/>
      <c r="AJ103" s="180"/>
      <c r="AK103" s="180">
        <f>AK102-AK95</f>
        <v>0</v>
      </c>
      <c r="AL103" s="180"/>
      <c r="AM103" s="180"/>
      <c r="AN103" s="180"/>
      <c r="AO103" s="180"/>
      <c r="AP103" s="180"/>
      <c r="AQ103" s="180"/>
      <c r="AR103" s="180">
        <f>AR102-AR95</f>
        <v>0</v>
      </c>
      <c r="AS103" s="180"/>
      <c r="AT103" s="180"/>
      <c r="AU103" s="180"/>
      <c r="AV103" s="180"/>
      <c r="AW103" s="180"/>
      <c r="AX103" s="180"/>
      <c r="AY103" s="180">
        <f>AY102-AY95</f>
        <v>0</v>
      </c>
    </row>
    <row r="104" spans="2:51">
      <c r="D104" s="226"/>
      <c r="E104" s="226"/>
      <c r="F104" s="226"/>
      <c r="G104" s="226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  <c r="AX104" s="180"/>
      <c r="AY104" s="180"/>
    </row>
    <row r="105" spans="2:51" ht="13">
      <c r="D105" s="361" t="s">
        <v>324</v>
      </c>
      <c r="E105" s="307"/>
      <c r="F105" s="307"/>
      <c r="G105" s="307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62"/>
      <c r="Z105" s="362"/>
      <c r="AA105" s="362"/>
      <c r="AB105" s="362"/>
      <c r="AC105" s="362"/>
      <c r="AD105" s="362"/>
      <c r="AE105" s="362"/>
      <c r="AF105" s="362"/>
      <c r="AG105" s="362"/>
      <c r="AH105" s="362"/>
      <c r="AI105" s="362"/>
      <c r="AJ105" s="362"/>
      <c r="AK105" s="362"/>
      <c r="AL105" s="362"/>
      <c r="AM105" s="362"/>
      <c r="AN105" s="362"/>
      <c r="AO105" s="362"/>
      <c r="AP105" s="362"/>
      <c r="AQ105" s="362"/>
      <c r="AR105" s="362"/>
      <c r="AS105" s="362"/>
      <c r="AT105" s="362"/>
      <c r="AU105" s="362"/>
      <c r="AV105" s="362"/>
      <c r="AW105" s="362"/>
      <c r="AX105" s="362"/>
      <c r="AY105" s="362"/>
    </row>
    <row r="106" spans="2:51">
      <c r="D106" s="177" t="s">
        <v>292</v>
      </c>
      <c r="E106" s="179">
        <f t="shared" ref="E106:AS106" si="14">E55</f>
        <v>1243</v>
      </c>
      <c r="F106" s="179">
        <f t="shared" si="14"/>
        <v>0</v>
      </c>
      <c r="G106" s="179">
        <f t="shared" si="14"/>
        <v>11677230</v>
      </c>
      <c r="H106" s="179">
        <f t="shared" si="14"/>
        <v>180285</v>
      </c>
      <c r="I106" s="179">
        <f t="shared" si="14"/>
        <v>0</v>
      </c>
      <c r="J106" s="334">
        <f t="shared" si="14"/>
        <v>364811363.77999985</v>
      </c>
      <c r="K106" s="179">
        <f t="shared" si="14"/>
        <v>1094</v>
      </c>
      <c r="L106" s="179">
        <f t="shared" si="14"/>
        <v>0</v>
      </c>
      <c r="M106" s="179">
        <f t="shared" si="14"/>
        <v>11017185</v>
      </c>
      <c r="N106" s="179">
        <f t="shared" si="14"/>
        <v>89855</v>
      </c>
      <c r="O106" s="179">
        <f t="shared" si="14"/>
        <v>0</v>
      </c>
      <c r="P106" s="334">
        <f t="shared" si="14"/>
        <v>376390830.32999998</v>
      </c>
      <c r="Q106" s="179">
        <f t="shared" si="14"/>
        <v>1412</v>
      </c>
      <c r="R106" s="179">
        <f t="shared" si="14"/>
        <v>1270.0000000000002</v>
      </c>
      <c r="S106" s="179">
        <f t="shared" si="14"/>
        <v>142</v>
      </c>
      <c r="T106" s="179">
        <f t="shared" si="14"/>
        <v>66770700</v>
      </c>
      <c r="U106" s="179">
        <f t="shared" si="14"/>
        <v>157994</v>
      </c>
      <c r="V106" s="179">
        <f t="shared" si="14"/>
        <v>1348093.4095074497</v>
      </c>
      <c r="W106" s="334">
        <f t="shared" si="14"/>
        <v>1343810637.2899997</v>
      </c>
      <c r="X106" s="179">
        <f t="shared" si="14"/>
        <v>1553</v>
      </c>
      <c r="Y106" s="179">
        <f t="shared" si="14"/>
        <v>1397</v>
      </c>
      <c r="Z106" s="179">
        <f t="shared" si="14"/>
        <v>156</v>
      </c>
      <c r="AA106" s="179">
        <f t="shared" si="14"/>
        <v>0</v>
      </c>
      <c r="AB106" s="179">
        <f t="shared" si="14"/>
        <v>0</v>
      </c>
      <c r="AC106" s="179">
        <f t="shared" si="14"/>
        <v>0</v>
      </c>
      <c r="AD106" s="334">
        <f t="shared" si="14"/>
        <v>1756813461.6129997</v>
      </c>
      <c r="AE106" s="179">
        <f t="shared" si="14"/>
        <v>1708</v>
      </c>
      <c r="AF106" s="179">
        <f t="shared" si="14"/>
        <v>1537</v>
      </c>
      <c r="AG106" s="179">
        <f t="shared" si="14"/>
        <v>171</v>
      </c>
      <c r="AH106" s="179">
        <f t="shared" si="14"/>
        <v>0</v>
      </c>
      <c r="AI106" s="179">
        <f t="shared" si="14"/>
        <v>0</v>
      </c>
      <c r="AJ106" s="179">
        <f t="shared" si="14"/>
        <v>0</v>
      </c>
      <c r="AK106" s="334">
        <f t="shared" si="14"/>
        <v>2299561995.6673021</v>
      </c>
      <c r="AL106" s="179">
        <f t="shared" si="14"/>
        <v>1879</v>
      </c>
      <c r="AM106" s="179">
        <f t="shared" si="14"/>
        <v>1691</v>
      </c>
      <c r="AN106" s="179">
        <f t="shared" si="14"/>
        <v>188</v>
      </c>
      <c r="AO106" s="179">
        <f t="shared" si="14"/>
        <v>0</v>
      </c>
      <c r="AP106" s="179">
        <f t="shared" si="14"/>
        <v>0</v>
      </c>
      <c r="AQ106" s="179">
        <f t="shared" si="14"/>
        <v>0</v>
      </c>
      <c r="AR106" s="334">
        <f t="shared" si="14"/>
        <v>2924541017.9019656</v>
      </c>
      <c r="AS106" s="179">
        <f t="shared" si="14"/>
        <v>2067</v>
      </c>
      <c r="AT106" s="179"/>
      <c r="AU106" s="179">
        <f>AU55</f>
        <v>207</v>
      </c>
      <c r="AV106" s="179">
        <f>AV55</f>
        <v>0</v>
      </c>
      <c r="AW106" s="179">
        <f>AW55</f>
        <v>0</v>
      </c>
      <c r="AX106" s="179">
        <f>AX55</f>
        <v>0</v>
      </c>
      <c r="AY106" s="353">
        <f>AY55</f>
        <v>3727168931.6320305</v>
      </c>
    </row>
    <row r="107" spans="2:51">
      <c r="D107" s="177" t="s">
        <v>316</v>
      </c>
      <c r="E107" s="179">
        <f t="shared" ref="E107:AS107" si="15">E70</f>
        <v>0</v>
      </c>
      <c r="F107" s="179">
        <f t="shared" si="15"/>
        <v>0</v>
      </c>
      <c r="G107" s="179">
        <f t="shared" si="15"/>
        <v>300430</v>
      </c>
      <c r="H107" s="179">
        <f t="shared" si="15"/>
        <v>1082</v>
      </c>
      <c r="I107" s="179">
        <f t="shared" si="15"/>
        <v>0</v>
      </c>
      <c r="J107" s="335">
        <f t="shared" si="15"/>
        <v>16376436.359999999</v>
      </c>
      <c r="K107" s="179">
        <f t="shared" si="15"/>
        <v>0</v>
      </c>
      <c r="L107" s="179">
        <f t="shared" si="15"/>
        <v>0</v>
      </c>
      <c r="M107" s="179">
        <f t="shared" si="15"/>
        <v>33110</v>
      </c>
      <c r="N107" s="179">
        <f t="shared" si="15"/>
        <v>1129</v>
      </c>
      <c r="O107" s="179">
        <f t="shared" si="15"/>
        <v>0</v>
      </c>
      <c r="P107" s="335">
        <f t="shared" si="15"/>
        <v>9525845.3599999994</v>
      </c>
      <c r="Q107" s="179">
        <f t="shared" si="15"/>
        <v>0</v>
      </c>
      <c r="R107" s="179">
        <f t="shared" si="15"/>
        <v>0</v>
      </c>
      <c r="S107" s="179">
        <f t="shared" si="15"/>
        <v>0</v>
      </c>
      <c r="T107" s="179">
        <f t="shared" si="15"/>
        <v>2750</v>
      </c>
      <c r="U107" s="179">
        <f t="shared" si="15"/>
        <v>224</v>
      </c>
      <c r="V107" s="179">
        <f t="shared" si="15"/>
        <v>0</v>
      </c>
      <c r="W107" s="335">
        <f t="shared" si="15"/>
        <v>510607.89</v>
      </c>
      <c r="X107" s="179">
        <f t="shared" si="15"/>
        <v>0</v>
      </c>
      <c r="Y107" s="179">
        <f t="shared" si="15"/>
        <v>0</v>
      </c>
      <c r="Z107" s="179">
        <f t="shared" si="15"/>
        <v>0</v>
      </c>
      <c r="AA107" s="179">
        <f t="shared" si="15"/>
        <v>0</v>
      </c>
      <c r="AB107" s="179">
        <f t="shared" si="15"/>
        <v>1110</v>
      </c>
      <c r="AC107" s="179">
        <f t="shared" si="15"/>
        <v>0</v>
      </c>
      <c r="AD107" s="335">
        <f t="shared" si="15"/>
        <v>10625000</v>
      </c>
      <c r="AE107" s="179">
        <f t="shared" si="15"/>
        <v>0</v>
      </c>
      <c r="AF107" s="179">
        <f t="shared" si="15"/>
        <v>0</v>
      </c>
      <c r="AG107" s="179">
        <f t="shared" si="15"/>
        <v>0</v>
      </c>
      <c r="AH107" s="179">
        <f t="shared" si="15"/>
        <v>0</v>
      </c>
      <c r="AI107" s="179">
        <f t="shared" si="15"/>
        <v>1443</v>
      </c>
      <c r="AJ107" s="179">
        <f t="shared" si="15"/>
        <v>0</v>
      </c>
      <c r="AK107" s="335">
        <f t="shared" si="15"/>
        <v>12610000</v>
      </c>
      <c r="AL107" s="179">
        <f t="shared" si="15"/>
        <v>0</v>
      </c>
      <c r="AM107" s="179">
        <f t="shared" si="15"/>
        <v>0</v>
      </c>
      <c r="AN107" s="179">
        <f t="shared" si="15"/>
        <v>0</v>
      </c>
      <c r="AO107" s="179">
        <f t="shared" si="15"/>
        <v>0</v>
      </c>
      <c r="AP107" s="179">
        <f t="shared" si="15"/>
        <v>1875.9</v>
      </c>
      <c r="AQ107" s="179">
        <f t="shared" si="15"/>
        <v>0</v>
      </c>
      <c r="AR107" s="335">
        <f t="shared" si="15"/>
        <v>15294500</v>
      </c>
      <c r="AS107" s="179">
        <f t="shared" si="15"/>
        <v>0</v>
      </c>
      <c r="AT107" s="179"/>
      <c r="AU107" s="179">
        <f>AU70</f>
        <v>0</v>
      </c>
      <c r="AV107" s="179">
        <f>AV70</f>
        <v>0</v>
      </c>
      <c r="AW107" s="179">
        <f>AW70</f>
        <v>2450</v>
      </c>
      <c r="AX107" s="179">
        <f>AX70</f>
        <v>0</v>
      </c>
      <c r="AY107" s="354">
        <f>AY70</f>
        <v>20075000</v>
      </c>
    </row>
    <row r="108" spans="2:51">
      <c r="D108" s="177" t="s">
        <v>318</v>
      </c>
      <c r="E108" s="179">
        <f t="shared" ref="E108:AS108" si="16">E79</f>
        <v>0</v>
      </c>
      <c r="F108" s="179">
        <f t="shared" si="16"/>
        <v>0</v>
      </c>
      <c r="G108" s="179">
        <f t="shared" si="16"/>
        <v>345472</v>
      </c>
      <c r="H108" s="179">
        <f t="shared" si="16"/>
        <v>13144</v>
      </c>
      <c r="I108" s="179">
        <f t="shared" si="16"/>
        <v>0</v>
      </c>
      <c r="J108" s="335">
        <f t="shared" si="16"/>
        <v>16533045.729999995</v>
      </c>
      <c r="K108" s="179">
        <f t="shared" si="16"/>
        <v>0</v>
      </c>
      <c r="L108" s="179">
        <f t="shared" si="16"/>
        <v>0</v>
      </c>
      <c r="M108" s="179">
        <f t="shared" si="16"/>
        <v>251227</v>
      </c>
      <c r="N108" s="179">
        <f t="shared" si="16"/>
        <v>12040</v>
      </c>
      <c r="O108" s="179">
        <f t="shared" si="16"/>
        <v>0</v>
      </c>
      <c r="P108" s="335">
        <f t="shared" si="16"/>
        <v>17535564.900000002</v>
      </c>
      <c r="Q108" s="179">
        <f t="shared" si="16"/>
        <v>0</v>
      </c>
      <c r="R108" s="179">
        <f t="shared" si="16"/>
        <v>0</v>
      </c>
      <c r="S108" s="179">
        <f t="shared" si="16"/>
        <v>0</v>
      </c>
      <c r="T108" s="179">
        <f t="shared" si="16"/>
        <v>975555</v>
      </c>
      <c r="U108" s="179">
        <f t="shared" si="16"/>
        <v>8826</v>
      </c>
      <c r="V108" s="179">
        <f t="shared" si="16"/>
        <v>0</v>
      </c>
      <c r="W108" s="335">
        <f t="shared" si="16"/>
        <v>35532173.369999997</v>
      </c>
      <c r="X108" s="179">
        <f t="shared" si="16"/>
        <v>0</v>
      </c>
      <c r="Y108" s="179">
        <f t="shared" si="16"/>
        <v>0</v>
      </c>
      <c r="Z108" s="179">
        <f t="shared" si="16"/>
        <v>0</v>
      </c>
      <c r="AA108" s="179">
        <f t="shared" si="16"/>
        <v>0</v>
      </c>
      <c r="AB108" s="179">
        <f t="shared" si="16"/>
        <v>0</v>
      </c>
      <c r="AC108" s="179">
        <f t="shared" si="16"/>
        <v>0</v>
      </c>
      <c r="AD108" s="335">
        <f t="shared" si="16"/>
        <v>46200000</v>
      </c>
      <c r="AE108" s="179">
        <f t="shared" si="16"/>
        <v>0</v>
      </c>
      <c r="AF108" s="179">
        <f t="shared" si="16"/>
        <v>0</v>
      </c>
      <c r="AG108" s="179">
        <f t="shared" si="16"/>
        <v>0</v>
      </c>
      <c r="AH108" s="179">
        <f t="shared" si="16"/>
        <v>0</v>
      </c>
      <c r="AI108" s="179">
        <f t="shared" si="16"/>
        <v>0</v>
      </c>
      <c r="AJ108" s="179">
        <f t="shared" si="16"/>
        <v>0</v>
      </c>
      <c r="AK108" s="335">
        <f t="shared" si="16"/>
        <v>60060000</v>
      </c>
      <c r="AL108" s="179">
        <f t="shared" si="16"/>
        <v>0</v>
      </c>
      <c r="AM108" s="179">
        <f t="shared" si="16"/>
        <v>0</v>
      </c>
      <c r="AN108" s="179">
        <f t="shared" si="16"/>
        <v>0</v>
      </c>
      <c r="AO108" s="179">
        <f t="shared" si="16"/>
        <v>0</v>
      </c>
      <c r="AP108" s="179">
        <f t="shared" si="16"/>
        <v>0</v>
      </c>
      <c r="AQ108" s="179">
        <f t="shared" si="16"/>
        <v>0</v>
      </c>
      <c r="AR108" s="335">
        <f t="shared" si="16"/>
        <v>78078000</v>
      </c>
      <c r="AS108" s="179">
        <f t="shared" si="16"/>
        <v>0</v>
      </c>
      <c r="AT108" s="179"/>
      <c r="AU108" s="179">
        <f>AU79</f>
        <v>0</v>
      </c>
      <c r="AV108" s="179">
        <f>AV79</f>
        <v>0</v>
      </c>
      <c r="AW108" s="179">
        <f>AW79</f>
        <v>0</v>
      </c>
      <c r="AX108" s="179">
        <f>AX79</f>
        <v>0</v>
      </c>
      <c r="AY108" s="354">
        <f>AY79</f>
        <v>101501400</v>
      </c>
    </row>
    <row r="109" spans="2:51">
      <c r="D109" s="177" t="s">
        <v>319</v>
      </c>
      <c r="E109" s="179">
        <f t="shared" ref="E109:AS109" si="17">E86</f>
        <v>0</v>
      </c>
      <c r="F109" s="179">
        <f t="shared" si="17"/>
        <v>0</v>
      </c>
      <c r="G109" s="179">
        <f t="shared" si="17"/>
        <v>16480</v>
      </c>
      <c r="H109" s="179">
        <f t="shared" si="17"/>
        <v>1873</v>
      </c>
      <c r="I109" s="179">
        <f t="shared" si="17"/>
        <v>0</v>
      </c>
      <c r="J109" s="335">
        <f t="shared" si="17"/>
        <v>1075316.6999999997</v>
      </c>
      <c r="K109" s="179">
        <f t="shared" si="17"/>
        <v>0</v>
      </c>
      <c r="L109" s="179">
        <f t="shared" si="17"/>
        <v>0</v>
      </c>
      <c r="M109" s="179">
        <f t="shared" si="17"/>
        <v>2490</v>
      </c>
      <c r="N109" s="179">
        <f t="shared" si="17"/>
        <v>359</v>
      </c>
      <c r="O109" s="179">
        <f t="shared" si="17"/>
        <v>0</v>
      </c>
      <c r="P109" s="335">
        <f t="shared" si="17"/>
        <v>223353.94999999998</v>
      </c>
      <c r="Q109" s="179">
        <f t="shared" si="17"/>
        <v>0</v>
      </c>
      <c r="R109" s="179">
        <f t="shared" si="17"/>
        <v>0</v>
      </c>
      <c r="S109" s="179">
        <f t="shared" si="17"/>
        <v>0</v>
      </c>
      <c r="T109" s="179">
        <f t="shared" si="17"/>
        <v>95405</v>
      </c>
      <c r="U109" s="179">
        <f t="shared" si="17"/>
        <v>682</v>
      </c>
      <c r="V109" s="179">
        <f t="shared" si="17"/>
        <v>0</v>
      </c>
      <c r="W109" s="335">
        <f t="shared" si="17"/>
        <v>4953538.3400000008</v>
      </c>
      <c r="X109" s="179">
        <f t="shared" si="17"/>
        <v>0</v>
      </c>
      <c r="Y109" s="179">
        <f t="shared" si="17"/>
        <v>0</v>
      </c>
      <c r="Z109" s="179">
        <f t="shared" si="17"/>
        <v>0</v>
      </c>
      <c r="AA109" s="179">
        <f t="shared" si="17"/>
        <v>0</v>
      </c>
      <c r="AB109" s="179">
        <f t="shared" si="17"/>
        <v>0</v>
      </c>
      <c r="AC109" s="179">
        <f t="shared" si="17"/>
        <v>0</v>
      </c>
      <c r="AD109" s="335">
        <f t="shared" si="17"/>
        <v>10400000</v>
      </c>
      <c r="AE109" s="179">
        <f t="shared" si="17"/>
        <v>0</v>
      </c>
      <c r="AF109" s="179">
        <f t="shared" si="17"/>
        <v>0</v>
      </c>
      <c r="AG109" s="179">
        <f t="shared" si="17"/>
        <v>0</v>
      </c>
      <c r="AH109" s="179">
        <f t="shared" si="17"/>
        <v>0</v>
      </c>
      <c r="AI109" s="179">
        <f t="shared" si="17"/>
        <v>0</v>
      </c>
      <c r="AJ109" s="179">
        <f t="shared" si="17"/>
        <v>0</v>
      </c>
      <c r="AK109" s="335">
        <f t="shared" si="17"/>
        <v>21900000</v>
      </c>
      <c r="AL109" s="179">
        <f t="shared" si="17"/>
        <v>0</v>
      </c>
      <c r="AM109" s="179">
        <f t="shared" si="17"/>
        <v>0</v>
      </c>
      <c r="AN109" s="179">
        <f t="shared" si="17"/>
        <v>0</v>
      </c>
      <c r="AO109" s="179">
        <f t="shared" si="17"/>
        <v>0</v>
      </c>
      <c r="AP109" s="179">
        <f t="shared" si="17"/>
        <v>0</v>
      </c>
      <c r="AQ109" s="179">
        <f t="shared" si="17"/>
        <v>0</v>
      </c>
      <c r="AR109" s="335">
        <f t="shared" si="17"/>
        <v>32780000</v>
      </c>
      <c r="AS109" s="179">
        <f t="shared" si="17"/>
        <v>0</v>
      </c>
      <c r="AT109" s="179"/>
      <c r="AU109" s="179">
        <f>AU86</f>
        <v>0</v>
      </c>
      <c r="AV109" s="179">
        <f>AV86</f>
        <v>0</v>
      </c>
      <c r="AW109" s="179">
        <f>AW86</f>
        <v>0</v>
      </c>
      <c r="AX109" s="179">
        <f>AX86</f>
        <v>0</v>
      </c>
      <c r="AY109" s="354">
        <f>AY86</f>
        <v>40910000</v>
      </c>
    </row>
    <row r="110" spans="2:51">
      <c r="D110" s="178" t="s">
        <v>320</v>
      </c>
      <c r="E110" s="179">
        <f t="shared" ref="E110:AS110" si="18">E93</f>
        <v>0</v>
      </c>
      <c r="F110" s="179">
        <f t="shared" si="18"/>
        <v>0</v>
      </c>
      <c r="G110" s="179">
        <f t="shared" si="18"/>
        <v>2238870</v>
      </c>
      <c r="H110" s="179">
        <f t="shared" si="18"/>
        <v>51133</v>
      </c>
      <c r="I110" s="179">
        <f t="shared" si="18"/>
        <v>0</v>
      </c>
      <c r="J110" s="335">
        <f t="shared" si="18"/>
        <v>122943137.7199937</v>
      </c>
      <c r="K110" s="179">
        <f t="shared" si="18"/>
        <v>0</v>
      </c>
      <c r="L110" s="179">
        <f t="shared" si="18"/>
        <v>0</v>
      </c>
      <c r="M110" s="179">
        <f t="shared" si="18"/>
        <v>2122085</v>
      </c>
      <c r="N110" s="179">
        <f t="shared" si="18"/>
        <v>25546</v>
      </c>
      <c r="O110" s="179">
        <f t="shared" si="18"/>
        <v>0</v>
      </c>
      <c r="P110" s="335">
        <f t="shared" si="18"/>
        <v>128863105.02999452</v>
      </c>
      <c r="Q110" s="179">
        <f t="shared" si="18"/>
        <v>0</v>
      </c>
      <c r="R110" s="179">
        <f t="shared" si="18"/>
        <v>0</v>
      </c>
      <c r="S110" s="179">
        <f t="shared" si="18"/>
        <v>0</v>
      </c>
      <c r="T110" s="179">
        <f t="shared" si="18"/>
        <v>3880185</v>
      </c>
      <c r="U110" s="179">
        <f t="shared" si="18"/>
        <v>99472</v>
      </c>
      <c r="V110" s="179">
        <f t="shared" si="18"/>
        <v>0</v>
      </c>
      <c r="W110" s="335">
        <f t="shared" si="18"/>
        <v>129796584.23</v>
      </c>
      <c r="X110" s="179">
        <f t="shared" si="18"/>
        <v>0</v>
      </c>
      <c r="Y110" s="179">
        <f t="shared" si="18"/>
        <v>0</v>
      </c>
      <c r="Z110" s="179">
        <f t="shared" si="18"/>
        <v>0</v>
      </c>
      <c r="AA110" s="179">
        <f t="shared" si="18"/>
        <v>0</v>
      </c>
      <c r="AB110" s="179">
        <f t="shared" si="18"/>
        <v>129313.60000000001</v>
      </c>
      <c r="AC110" s="179">
        <f t="shared" si="18"/>
        <v>0</v>
      </c>
      <c r="AD110" s="335">
        <f t="shared" si="18"/>
        <v>196552330</v>
      </c>
      <c r="AE110" s="179">
        <f t="shared" si="18"/>
        <v>0</v>
      </c>
      <c r="AF110" s="179">
        <f t="shared" si="18"/>
        <v>0</v>
      </c>
      <c r="AG110" s="179">
        <f t="shared" si="18"/>
        <v>0</v>
      </c>
      <c r="AH110" s="179">
        <f t="shared" si="18"/>
        <v>0</v>
      </c>
      <c r="AI110" s="179">
        <f t="shared" si="18"/>
        <v>168107.68000000002</v>
      </c>
      <c r="AJ110" s="179">
        <f t="shared" si="18"/>
        <v>0</v>
      </c>
      <c r="AK110" s="335">
        <f t="shared" si="18"/>
        <v>255518029</v>
      </c>
      <c r="AL110" s="179">
        <f t="shared" si="18"/>
        <v>0</v>
      </c>
      <c r="AM110" s="179">
        <f t="shared" si="18"/>
        <v>0</v>
      </c>
      <c r="AN110" s="179">
        <f t="shared" si="18"/>
        <v>0</v>
      </c>
      <c r="AO110" s="179">
        <f t="shared" si="18"/>
        <v>0</v>
      </c>
      <c r="AP110" s="179">
        <f t="shared" si="18"/>
        <v>218539.98400000003</v>
      </c>
      <c r="AQ110" s="179">
        <f t="shared" si="18"/>
        <v>0</v>
      </c>
      <c r="AR110" s="335">
        <f t="shared" si="18"/>
        <v>332173437.69999999</v>
      </c>
      <c r="AS110" s="179">
        <f t="shared" si="18"/>
        <v>0</v>
      </c>
      <c r="AT110" s="179"/>
      <c r="AU110" s="179">
        <f>AU93</f>
        <v>0</v>
      </c>
      <c r="AV110" s="179">
        <f>AV93</f>
        <v>0</v>
      </c>
      <c r="AW110" s="179">
        <f>AW93</f>
        <v>284101.97920000006</v>
      </c>
      <c r="AX110" s="179">
        <f>AX93</f>
        <v>0</v>
      </c>
      <c r="AY110" s="354">
        <f>AY93</f>
        <v>431825469.01000005</v>
      </c>
    </row>
    <row r="111" spans="2:51" ht="13.5" thickBot="1">
      <c r="D111" s="116" t="s">
        <v>323</v>
      </c>
      <c r="E111" s="117">
        <f>SUM(E106:E110)</f>
        <v>1243</v>
      </c>
      <c r="F111" s="117">
        <f>SUM(F106:F110)</f>
        <v>0</v>
      </c>
      <c r="G111" s="117"/>
      <c r="H111" s="118"/>
      <c r="I111" s="118"/>
      <c r="J111" s="333">
        <f>SUM(J106:J110)</f>
        <v>521739300.28999358</v>
      </c>
      <c r="K111" s="117">
        <f>SUM(K106:K110)</f>
        <v>1094</v>
      </c>
      <c r="L111" s="117">
        <f>SUM(L106:L110)</f>
        <v>0</v>
      </c>
      <c r="M111" s="118"/>
      <c r="N111" s="118"/>
      <c r="O111" s="118"/>
      <c r="P111" s="333">
        <f>SUM(P106:P110)</f>
        <v>532538699.56999445</v>
      </c>
      <c r="Q111" s="117">
        <f>SUM(Q106:Q110)</f>
        <v>1412</v>
      </c>
      <c r="R111" s="117">
        <f>SUM(R106:R110)</f>
        <v>1270.0000000000002</v>
      </c>
      <c r="S111" s="118">
        <f>SUM(S106:S110)</f>
        <v>142</v>
      </c>
      <c r="T111" s="118"/>
      <c r="U111" s="118"/>
      <c r="V111" s="118"/>
      <c r="W111" s="333">
        <f t="shared" ref="W111:AS111" si="19">SUM(W106:W110)</f>
        <v>1514603541.1199996</v>
      </c>
      <c r="X111" s="117">
        <f t="shared" si="19"/>
        <v>1553</v>
      </c>
      <c r="Y111" s="117">
        <f t="shared" si="19"/>
        <v>1397</v>
      </c>
      <c r="Z111" s="118">
        <f t="shared" si="19"/>
        <v>156</v>
      </c>
      <c r="AA111" s="118">
        <f t="shared" si="19"/>
        <v>0</v>
      </c>
      <c r="AB111" s="118">
        <f t="shared" si="19"/>
        <v>130423.6</v>
      </c>
      <c r="AC111" s="118">
        <f t="shared" si="19"/>
        <v>0</v>
      </c>
      <c r="AD111" s="333">
        <f t="shared" si="19"/>
        <v>2020590791.6129997</v>
      </c>
      <c r="AE111" s="117">
        <f t="shared" si="19"/>
        <v>1708</v>
      </c>
      <c r="AF111" s="117">
        <f t="shared" si="19"/>
        <v>1537</v>
      </c>
      <c r="AG111" s="118">
        <f t="shared" si="19"/>
        <v>171</v>
      </c>
      <c r="AH111" s="118">
        <f t="shared" si="19"/>
        <v>0</v>
      </c>
      <c r="AI111" s="118">
        <f t="shared" si="19"/>
        <v>169550.68000000002</v>
      </c>
      <c r="AJ111" s="118">
        <f t="shared" si="19"/>
        <v>0</v>
      </c>
      <c r="AK111" s="333">
        <f t="shared" si="19"/>
        <v>2649650024.6673021</v>
      </c>
      <c r="AL111" s="117">
        <f t="shared" si="19"/>
        <v>1879</v>
      </c>
      <c r="AM111" s="117">
        <f t="shared" si="19"/>
        <v>1691</v>
      </c>
      <c r="AN111" s="118">
        <f t="shared" si="19"/>
        <v>188</v>
      </c>
      <c r="AO111" s="118">
        <f t="shared" si="19"/>
        <v>0</v>
      </c>
      <c r="AP111" s="118">
        <f t="shared" si="19"/>
        <v>220415.88400000002</v>
      </c>
      <c r="AQ111" s="118">
        <f t="shared" si="19"/>
        <v>0</v>
      </c>
      <c r="AR111" s="333">
        <f t="shared" si="19"/>
        <v>3382866955.6019654</v>
      </c>
      <c r="AS111" s="117">
        <f t="shared" si="19"/>
        <v>2067</v>
      </c>
      <c r="AT111" s="117"/>
      <c r="AU111" s="117">
        <f>SUM(AU106:AU110)</f>
        <v>207</v>
      </c>
      <c r="AV111" s="118">
        <f>SUM(AV106:AV110)</f>
        <v>0</v>
      </c>
      <c r="AW111" s="118">
        <f>SUM(AW106:AW110)</f>
        <v>286551.97920000006</v>
      </c>
      <c r="AX111" s="118">
        <f>SUM(AX106:AX110)</f>
        <v>0</v>
      </c>
      <c r="AY111" s="352">
        <f>SUM(AY106:AY110)</f>
        <v>4321480800.6420307</v>
      </c>
    </row>
    <row r="112" spans="2:51" s="227" customFormat="1" ht="13.5" thickTop="1">
      <c r="B112" s="363"/>
      <c r="D112" s="226" t="s">
        <v>176</v>
      </c>
      <c r="E112" s="228"/>
      <c r="F112" s="228"/>
      <c r="G112" s="228"/>
      <c r="H112" s="229"/>
      <c r="I112" s="229"/>
      <c r="J112" s="229">
        <f>J111-J95</f>
        <v>0</v>
      </c>
      <c r="K112" s="229"/>
      <c r="L112" s="229"/>
      <c r="M112" s="229"/>
      <c r="N112" s="229"/>
      <c r="O112" s="229"/>
      <c r="P112" s="229">
        <f>P111-P95</f>
        <v>0</v>
      </c>
      <c r="Q112" s="229"/>
      <c r="R112" s="229"/>
      <c r="S112" s="229"/>
      <c r="T112" s="229"/>
      <c r="U112" s="229"/>
      <c r="V112" s="229"/>
      <c r="W112" s="229">
        <f>W111-W95</f>
        <v>0</v>
      </c>
      <c r="X112" s="229"/>
      <c r="Y112" s="229"/>
      <c r="Z112" s="229"/>
      <c r="AA112" s="229"/>
      <c r="AB112" s="229"/>
      <c r="AC112" s="229"/>
      <c r="AD112" s="229"/>
      <c r="AE112" s="229"/>
      <c r="AF112" s="229"/>
      <c r="AG112" s="229"/>
      <c r="AH112" s="229"/>
      <c r="AI112" s="229"/>
      <c r="AJ112" s="229"/>
      <c r="AK112" s="229"/>
      <c r="AL112" s="229"/>
      <c r="AM112" s="229"/>
      <c r="AN112" s="229"/>
      <c r="AO112" s="229"/>
      <c r="AP112" s="229"/>
      <c r="AQ112" s="229"/>
      <c r="AR112" s="229"/>
      <c r="AS112" s="229"/>
      <c r="AT112" s="229"/>
      <c r="AU112" s="229"/>
      <c r="AV112" s="229"/>
      <c r="AW112" s="229"/>
      <c r="AX112" s="229"/>
      <c r="AY112" s="229"/>
    </row>
    <row r="113" spans="2:51" s="227" customFormat="1" ht="13">
      <c r="B113" s="363"/>
      <c r="D113" s="226"/>
      <c r="E113" s="228"/>
      <c r="F113" s="228"/>
      <c r="G113" s="228"/>
      <c r="H113" s="229"/>
      <c r="I113" s="229"/>
      <c r="J113" s="229"/>
      <c r="K113" s="229"/>
      <c r="L113" s="229"/>
      <c r="M113" s="229"/>
      <c r="N113" s="229"/>
      <c r="O113" s="229"/>
      <c r="P113" s="229"/>
      <c r="Q113" s="229"/>
      <c r="R113" s="229"/>
      <c r="S113" s="229"/>
      <c r="T113" s="229"/>
      <c r="U113" s="229"/>
      <c r="V113" s="229"/>
      <c r="W113" s="229"/>
      <c r="X113" s="229"/>
      <c r="Y113" s="229"/>
      <c r="Z113" s="229"/>
      <c r="AA113" s="229"/>
      <c r="AB113" s="229"/>
      <c r="AC113" s="229"/>
      <c r="AD113" s="229"/>
      <c r="AE113" s="229"/>
      <c r="AF113" s="229"/>
      <c r="AG113" s="229"/>
      <c r="AH113" s="229"/>
      <c r="AI113" s="229"/>
      <c r="AJ113" s="229"/>
      <c r="AK113" s="229"/>
      <c r="AL113" s="229"/>
      <c r="AM113" s="229"/>
      <c r="AN113" s="229"/>
      <c r="AO113" s="229"/>
      <c r="AP113" s="229"/>
      <c r="AQ113" s="229"/>
      <c r="AR113" s="229"/>
      <c r="AS113" s="229"/>
      <c r="AT113" s="229"/>
      <c r="AU113" s="229"/>
      <c r="AV113" s="229"/>
      <c r="AW113" s="229"/>
      <c r="AX113" s="229"/>
      <c r="AY113" s="229"/>
    </row>
    <row r="114" spans="2:51" ht="13">
      <c r="D114" s="364" t="s">
        <v>533</v>
      </c>
      <c r="E114" s="307"/>
      <c r="F114" s="307"/>
      <c r="G114" s="307"/>
      <c r="H114" s="362"/>
      <c r="I114" s="362"/>
      <c r="J114" s="362"/>
      <c r="K114" s="362"/>
      <c r="L114" s="362"/>
      <c r="M114" s="362"/>
      <c r="N114" s="362"/>
      <c r="O114" s="362"/>
      <c r="P114" s="362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  <c r="AA114" s="362"/>
      <c r="AB114" s="362"/>
      <c r="AC114" s="362"/>
      <c r="AD114" s="362"/>
      <c r="AE114" s="362"/>
      <c r="AF114" s="362"/>
      <c r="AG114" s="362"/>
      <c r="AH114" s="362"/>
      <c r="AI114" s="362"/>
      <c r="AJ114" s="362"/>
      <c r="AK114" s="362"/>
      <c r="AL114" s="362"/>
      <c r="AM114" s="362"/>
      <c r="AN114" s="362"/>
      <c r="AO114" s="362"/>
      <c r="AP114" s="362"/>
      <c r="AQ114" s="362"/>
      <c r="AR114" s="362"/>
      <c r="AS114" s="362"/>
      <c r="AT114" s="362"/>
      <c r="AU114" s="362"/>
      <c r="AV114" s="362"/>
      <c r="AW114" s="362"/>
      <c r="AX114" s="362"/>
      <c r="AY114" s="362"/>
    </row>
    <row r="115" spans="2:51">
      <c r="D115" s="218" t="s">
        <v>95</v>
      </c>
      <c r="E115" s="68">
        <f t="shared" ref="E115:N119" si="20">SUMIF($B$7:$B$54,$D115,E$7:E$54)</f>
        <v>350</v>
      </c>
      <c r="F115" s="68">
        <f t="shared" si="20"/>
        <v>0</v>
      </c>
      <c r="G115" s="181">
        <f t="shared" si="20"/>
        <v>3410755</v>
      </c>
      <c r="H115" s="181">
        <f t="shared" si="20"/>
        <v>43323</v>
      </c>
      <c r="I115" s="181">
        <f t="shared" si="20"/>
        <v>55552.217710962745</v>
      </c>
      <c r="J115" s="336">
        <f t="shared" si="20"/>
        <v>100858589.7099999</v>
      </c>
      <c r="K115" s="68">
        <f t="shared" si="20"/>
        <v>376</v>
      </c>
      <c r="L115" s="68">
        <f t="shared" si="20"/>
        <v>0</v>
      </c>
      <c r="M115" s="181">
        <f t="shared" si="20"/>
        <v>7395765</v>
      </c>
      <c r="N115" s="181">
        <f t="shared" si="20"/>
        <v>36719</v>
      </c>
      <c r="O115" s="181">
        <f t="shared" ref="O115:W119" si="21">SUMIF($B$7:$B$54,$D115,O$7:O$54)</f>
        <v>373460.22185496218</v>
      </c>
      <c r="P115" s="336">
        <f t="shared" si="21"/>
        <v>236945260.00999996</v>
      </c>
      <c r="Q115" s="68">
        <f t="shared" si="21"/>
        <v>546</v>
      </c>
      <c r="R115" s="68">
        <f t="shared" si="21"/>
        <v>475</v>
      </c>
      <c r="S115" s="68">
        <f t="shared" si="21"/>
        <v>71</v>
      </c>
      <c r="T115" s="181">
        <f t="shared" si="21"/>
        <v>42182220</v>
      </c>
      <c r="U115" s="181">
        <f t="shared" si="21"/>
        <v>91311</v>
      </c>
      <c r="V115" s="181">
        <f t="shared" si="21"/>
        <v>327765.02936422802</v>
      </c>
      <c r="W115" s="336">
        <f t="shared" si="21"/>
        <v>828885226.89999998</v>
      </c>
      <c r="AD115" s="336">
        <f>SUMIF($B$7:$B$54,$D115,AD$7:AD$54)</f>
        <v>1080855938.625</v>
      </c>
      <c r="AK115" s="336">
        <f>SUMIF($B$7:$B$54,$D115,AK$7:AK$54)</f>
        <v>1409739921.3295004</v>
      </c>
      <c r="AR115" s="336">
        <f>SUMIF($B$7:$B$54,$D115,AR$7:AR$54)</f>
        <v>1771892024.0075753</v>
      </c>
      <c r="AY115" s="355">
        <f>SUMIF($B$7:$B$54,$D115,AY$7:AY$54)</f>
        <v>2228469001.2934489</v>
      </c>
    </row>
    <row r="116" spans="2:51">
      <c r="D116" s="218" t="s">
        <v>301</v>
      </c>
      <c r="E116" s="68">
        <f t="shared" si="20"/>
        <v>332</v>
      </c>
      <c r="F116" s="68">
        <f t="shared" si="20"/>
        <v>0</v>
      </c>
      <c r="G116" s="181">
        <f t="shared" si="20"/>
        <v>2415815</v>
      </c>
      <c r="H116" s="181">
        <f t="shared" si="20"/>
        <v>29184</v>
      </c>
      <c r="I116" s="181">
        <f t="shared" si="20"/>
        <v>63079.999402846413</v>
      </c>
      <c r="J116" s="336">
        <f t="shared" si="20"/>
        <v>75953360.889999971</v>
      </c>
      <c r="K116" s="68">
        <f t="shared" si="20"/>
        <v>230</v>
      </c>
      <c r="L116" s="68">
        <f t="shared" si="20"/>
        <v>0</v>
      </c>
      <c r="M116" s="181">
        <f t="shared" si="20"/>
        <v>1476640</v>
      </c>
      <c r="N116" s="181">
        <f t="shared" si="20"/>
        <v>8168</v>
      </c>
      <c r="O116" s="181">
        <f t="shared" si="21"/>
        <v>167361.9701330039</v>
      </c>
      <c r="P116" s="336">
        <f t="shared" si="21"/>
        <v>50143776.979999997</v>
      </c>
      <c r="Q116" s="68">
        <f t="shared" si="21"/>
        <v>244</v>
      </c>
      <c r="R116" s="68">
        <f t="shared" si="21"/>
        <v>215.6</v>
      </c>
      <c r="S116" s="68">
        <f t="shared" si="21"/>
        <v>28.4</v>
      </c>
      <c r="T116" s="181">
        <f t="shared" si="21"/>
        <v>8269860</v>
      </c>
      <c r="U116" s="181">
        <f t="shared" si="21"/>
        <v>19306</v>
      </c>
      <c r="V116" s="181">
        <f t="shared" si="21"/>
        <v>338723.90192399675</v>
      </c>
      <c r="W116" s="336">
        <f t="shared" si="21"/>
        <v>173012800.54000002</v>
      </c>
      <c r="AD116" s="336">
        <f>SUMIF($B$7:$B$54,$D116,AD$7:AD$54)</f>
        <v>229491375.359</v>
      </c>
      <c r="AK116" s="336">
        <f>SUMIF($B$7:$B$54,$D116,AK$7:AK$54)</f>
        <v>304743416.48650008</v>
      </c>
      <c r="AR116" s="336">
        <f>SUMIF($B$7:$B$54,$D116,AR$7:AR$54)</f>
        <v>394378990.49970514</v>
      </c>
      <c r="AY116" s="356">
        <f>SUMIF($B$7:$B$54,$D116,AY$7:AY$54)</f>
        <v>511803345.97284305</v>
      </c>
    </row>
    <row r="117" spans="2:51">
      <c r="D117" s="218" t="s">
        <v>102</v>
      </c>
      <c r="E117" s="68">
        <f t="shared" si="20"/>
        <v>307</v>
      </c>
      <c r="F117" s="68">
        <f t="shared" si="20"/>
        <v>0</v>
      </c>
      <c r="G117" s="181">
        <f t="shared" si="20"/>
        <v>2674910</v>
      </c>
      <c r="H117" s="181">
        <f t="shared" si="20"/>
        <v>39146</v>
      </c>
      <c r="I117" s="181">
        <f t="shared" si="20"/>
        <v>73411.754695770549</v>
      </c>
      <c r="J117" s="336">
        <f t="shared" si="20"/>
        <v>83721294.679999977</v>
      </c>
      <c r="K117" s="68">
        <f t="shared" si="20"/>
        <v>215</v>
      </c>
      <c r="L117" s="68">
        <f t="shared" si="20"/>
        <v>0</v>
      </c>
      <c r="M117" s="181">
        <f t="shared" si="20"/>
        <v>982265</v>
      </c>
      <c r="N117" s="181">
        <f t="shared" si="20"/>
        <v>13021</v>
      </c>
      <c r="O117" s="181">
        <f t="shared" si="21"/>
        <v>174792.13362195238</v>
      </c>
      <c r="P117" s="336">
        <f t="shared" si="21"/>
        <v>39830453.960000008</v>
      </c>
      <c r="Q117" s="68">
        <f t="shared" si="21"/>
        <v>317</v>
      </c>
      <c r="R117" s="68">
        <f t="shared" si="21"/>
        <v>288.60000000000002</v>
      </c>
      <c r="S117" s="68">
        <f t="shared" si="21"/>
        <v>28.4</v>
      </c>
      <c r="T117" s="181">
        <f t="shared" si="21"/>
        <v>9865040</v>
      </c>
      <c r="U117" s="181">
        <f t="shared" si="21"/>
        <v>24107</v>
      </c>
      <c r="V117" s="181">
        <f t="shared" si="21"/>
        <v>301441.37818437762</v>
      </c>
      <c r="W117" s="336">
        <f t="shared" si="21"/>
        <v>201831532.32000002</v>
      </c>
      <c r="AD117" s="336">
        <f>SUMIF($B$7:$B$54,$D117,AD$7:AD$54)</f>
        <v>269362730.88699996</v>
      </c>
      <c r="AK117" s="336">
        <f>SUMIF($B$7:$B$54,$D117,AK$7:AK$54)</f>
        <v>359945984.57249999</v>
      </c>
      <c r="AR117" s="336">
        <f>SUMIF($B$7:$B$54,$D117,AR$7:AR$54)</f>
        <v>470458792.99636483</v>
      </c>
      <c r="AY117" s="356">
        <f>SUMIF($B$7:$B$54,$D117,AY$7:AY$54)</f>
        <v>616810328.43849218</v>
      </c>
    </row>
    <row r="118" spans="2:51">
      <c r="D118" s="218" t="s">
        <v>107</v>
      </c>
      <c r="E118" s="68">
        <f t="shared" si="20"/>
        <v>254</v>
      </c>
      <c r="F118" s="68">
        <f t="shared" si="20"/>
        <v>0</v>
      </c>
      <c r="G118" s="181">
        <f t="shared" si="20"/>
        <v>3175750</v>
      </c>
      <c r="H118" s="181">
        <f t="shared" si="20"/>
        <v>68632</v>
      </c>
      <c r="I118" s="181">
        <f t="shared" si="20"/>
        <v>69598.033180833241</v>
      </c>
      <c r="J118" s="336">
        <f t="shared" si="20"/>
        <v>104278118.49999997</v>
      </c>
      <c r="K118" s="68">
        <f t="shared" si="20"/>
        <v>273</v>
      </c>
      <c r="L118" s="68">
        <f t="shared" si="20"/>
        <v>0</v>
      </c>
      <c r="M118" s="181">
        <f t="shared" si="20"/>
        <v>1162515</v>
      </c>
      <c r="N118" s="181">
        <f t="shared" si="20"/>
        <v>31947</v>
      </c>
      <c r="O118" s="181">
        <f t="shared" si="21"/>
        <v>253884.69623714959</v>
      </c>
      <c r="P118" s="336">
        <f t="shared" si="21"/>
        <v>49471339.380000018</v>
      </c>
      <c r="Q118" s="68">
        <f t="shared" si="21"/>
        <v>305</v>
      </c>
      <c r="R118" s="68">
        <f t="shared" si="21"/>
        <v>290.79999999999995</v>
      </c>
      <c r="S118" s="68">
        <f t="shared" si="21"/>
        <v>14.200000000000003</v>
      </c>
      <c r="T118" s="181">
        <f t="shared" si="21"/>
        <v>6453580</v>
      </c>
      <c r="U118" s="181">
        <f t="shared" si="21"/>
        <v>23270</v>
      </c>
      <c r="V118" s="181">
        <f t="shared" si="21"/>
        <v>380163.10003484687</v>
      </c>
      <c r="W118" s="336">
        <f t="shared" si="21"/>
        <v>140081077.52999997</v>
      </c>
      <c r="AD118" s="336">
        <f>SUMIF($B$7:$B$54,$D118,AD$7:AD$54)</f>
        <v>177103416.74200001</v>
      </c>
      <c r="AK118" s="336">
        <f>SUMIF($B$7:$B$54,$D118,AK$7:AK$54)</f>
        <v>225132673.27879998</v>
      </c>
      <c r="AR118" s="336">
        <f>SUMIF($B$7:$B$54,$D118,AR$7:AR$54)</f>
        <v>287811210.39831996</v>
      </c>
      <c r="AY118" s="356">
        <f>SUMIF($B$7:$B$54,$D118,AY$7:AY$54)</f>
        <v>370086255.92724788</v>
      </c>
    </row>
    <row r="119" spans="2:51">
      <c r="D119" s="219" t="s">
        <v>384</v>
      </c>
      <c r="E119" s="68">
        <f t="shared" si="20"/>
        <v>0</v>
      </c>
      <c r="F119" s="68">
        <f t="shared" si="20"/>
        <v>0</v>
      </c>
      <c r="G119" s="181">
        <f t="shared" si="20"/>
        <v>0</v>
      </c>
      <c r="H119" s="181">
        <f t="shared" si="20"/>
        <v>0</v>
      </c>
      <c r="I119" s="181">
        <f t="shared" si="20"/>
        <v>0</v>
      </c>
      <c r="J119" s="336">
        <f t="shared" si="20"/>
        <v>0</v>
      </c>
      <c r="K119" s="68">
        <f t="shared" si="20"/>
        <v>0</v>
      </c>
      <c r="L119" s="68">
        <f t="shared" si="20"/>
        <v>0</v>
      </c>
      <c r="M119" s="181">
        <f t="shared" si="20"/>
        <v>0</v>
      </c>
      <c r="N119" s="181">
        <f t="shared" si="20"/>
        <v>0</v>
      </c>
      <c r="O119" s="181">
        <f t="shared" si="21"/>
        <v>0</v>
      </c>
      <c r="P119" s="336">
        <f t="shared" si="21"/>
        <v>0</v>
      </c>
      <c r="Q119" s="68">
        <f t="shared" si="21"/>
        <v>0</v>
      </c>
      <c r="R119" s="68">
        <f t="shared" si="21"/>
        <v>0</v>
      </c>
      <c r="S119" s="68">
        <f t="shared" si="21"/>
        <v>0</v>
      </c>
      <c r="T119" s="181">
        <f t="shared" si="21"/>
        <v>0</v>
      </c>
      <c r="U119" s="181">
        <f t="shared" si="21"/>
        <v>0</v>
      </c>
      <c r="V119" s="181">
        <f t="shared" si="21"/>
        <v>0</v>
      </c>
      <c r="W119" s="336">
        <f t="shared" si="21"/>
        <v>0</v>
      </c>
      <c r="AD119" s="336">
        <f>SUMIF($B$7:$B$54,$D119,AD$7:AD$54)</f>
        <v>0</v>
      </c>
      <c r="AK119" s="336">
        <f>SUMIF($B$7:$B$54,$D119,AK$7:AK$54)</f>
        <v>0</v>
      </c>
      <c r="AR119" s="336">
        <f>SUMIF($B$7:$B$54,$D119,AR$7:AR$54)</f>
        <v>0</v>
      </c>
      <c r="AY119" s="356">
        <f>SUMIF($B$7:$B$54,$D119,AY$7:AY$54)</f>
        <v>0</v>
      </c>
    </row>
    <row r="120" spans="2:51" ht="13.5" thickBot="1">
      <c r="D120" s="116" t="s">
        <v>323</v>
      </c>
      <c r="E120" s="117">
        <f>SUM(E115:E119)</f>
        <v>1243</v>
      </c>
      <c r="F120" s="117">
        <f>SUM(F115:F119)</f>
        <v>0</v>
      </c>
      <c r="G120" s="117"/>
      <c r="H120" s="118"/>
      <c r="I120" s="118"/>
      <c r="J120" s="333">
        <f>SUM(J115:J119)</f>
        <v>364811363.77999985</v>
      </c>
      <c r="K120" s="118">
        <f>SUM(K115:K119)</f>
        <v>1094</v>
      </c>
      <c r="L120" s="118">
        <f>SUM(L115:L119)</f>
        <v>0</v>
      </c>
      <c r="M120" s="118"/>
      <c r="N120" s="118"/>
      <c r="O120" s="118"/>
      <c r="P120" s="333">
        <f>SUM(P115:P119)</f>
        <v>376390830.32999992</v>
      </c>
      <c r="Q120" s="118">
        <f>SUM(Q115:Q119)</f>
        <v>1412</v>
      </c>
      <c r="R120" s="118">
        <f>SUM(R115:R119)</f>
        <v>1270</v>
      </c>
      <c r="S120" s="118">
        <f>SUM(S115:S119)</f>
        <v>142</v>
      </c>
      <c r="T120" s="118"/>
      <c r="U120" s="118"/>
      <c r="V120" s="118"/>
      <c r="W120" s="333">
        <f>SUM(W115:W119)</f>
        <v>1343810637.29</v>
      </c>
      <c r="X120" s="118">
        <f>SUM(X115:X119)</f>
        <v>0</v>
      </c>
      <c r="Y120" s="118">
        <f>SUM(Y115:Y119)</f>
        <v>0</v>
      </c>
      <c r="Z120" s="118">
        <f>SUM(Z115:Z119)</f>
        <v>0</v>
      </c>
      <c r="AA120" s="118"/>
      <c r="AB120" s="118"/>
      <c r="AC120" s="118"/>
      <c r="AD120" s="333">
        <f>SUM(AD115:AD119)</f>
        <v>1756813461.6129999</v>
      </c>
      <c r="AE120" s="118">
        <f>SUM(AE115:AE119)</f>
        <v>0</v>
      </c>
      <c r="AF120" s="118">
        <f>SUM(AF115:AF119)</f>
        <v>0</v>
      </c>
      <c r="AG120" s="118">
        <f>SUM(AG115:AG119)</f>
        <v>0</v>
      </c>
      <c r="AH120" s="118"/>
      <c r="AI120" s="118"/>
      <c r="AJ120" s="118"/>
      <c r="AK120" s="333">
        <f>SUM(AK115:AK119)</f>
        <v>2299561995.6673002</v>
      </c>
      <c r="AL120" s="118">
        <f>SUM(AL115:AL119)</f>
        <v>0</v>
      </c>
      <c r="AM120" s="118">
        <f>SUM(AM115:AM119)</f>
        <v>0</v>
      </c>
      <c r="AN120" s="118">
        <f>SUM(AN115:AN119)</f>
        <v>0</v>
      </c>
      <c r="AO120" s="118"/>
      <c r="AP120" s="118"/>
      <c r="AQ120" s="118"/>
      <c r="AR120" s="333">
        <f>SUM(AR115:AR119)</f>
        <v>2924541017.9019651</v>
      </c>
      <c r="AS120" s="118">
        <f>SUM(AS115:AS119)</f>
        <v>0</v>
      </c>
      <c r="AT120" s="118"/>
      <c r="AU120" s="118">
        <f>SUM(AU115:AU119)</f>
        <v>0</v>
      </c>
      <c r="AV120" s="118">
        <f>SUM(AV115:AV119)</f>
        <v>0</v>
      </c>
      <c r="AW120" s="118"/>
      <c r="AX120" s="118"/>
      <c r="AY120" s="352">
        <f>SUM(AY115:AY119)</f>
        <v>3727168931.6320324</v>
      </c>
    </row>
    <row r="121" spans="2:51" s="227" customFormat="1" ht="13" thickTop="1">
      <c r="B121" s="363"/>
      <c r="D121" s="226" t="s">
        <v>176</v>
      </c>
      <c r="E121" s="363"/>
      <c r="F121" s="363"/>
      <c r="G121" s="363"/>
      <c r="J121" s="365">
        <f>J120-J55</f>
        <v>0</v>
      </c>
      <c r="P121" s="365">
        <f>P120-P55</f>
        <v>0</v>
      </c>
      <c r="W121" s="365">
        <f>W120-W55</f>
        <v>0</v>
      </c>
    </row>
    <row r="123" spans="2:51" ht="13">
      <c r="D123" s="361" t="s">
        <v>326</v>
      </c>
      <c r="E123" s="307"/>
      <c r="F123" s="307"/>
      <c r="G123" s="307"/>
      <c r="H123" s="362"/>
      <c r="I123" s="362"/>
      <c r="J123" s="362"/>
      <c r="K123" s="362"/>
      <c r="L123" s="36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  <c r="X123" s="362"/>
      <c r="Y123" s="362"/>
      <c r="Z123" s="362"/>
      <c r="AA123" s="362"/>
      <c r="AB123" s="362"/>
      <c r="AC123" s="362"/>
      <c r="AD123" s="362"/>
      <c r="AE123" s="362"/>
      <c r="AF123" s="362"/>
      <c r="AG123" s="362"/>
      <c r="AH123" s="362"/>
      <c r="AI123" s="362"/>
      <c r="AJ123" s="362"/>
      <c r="AK123" s="362"/>
      <c r="AL123" s="362"/>
      <c r="AM123" s="362"/>
      <c r="AN123" s="362"/>
      <c r="AO123" s="362"/>
      <c r="AP123" s="362"/>
      <c r="AQ123" s="362"/>
      <c r="AR123" s="362"/>
      <c r="AS123" s="362"/>
      <c r="AT123" s="362"/>
      <c r="AU123" s="362"/>
      <c r="AV123" s="362"/>
      <c r="AW123" s="362"/>
      <c r="AX123" s="362"/>
      <c r="AY123" s="362"/>
    </row>
    <row r="124" spans="2:51">
      <c r="D124" s="220" t="s">
        <v>294</v>
      </c>
      <c r="E124" s="223">
        <f t="shared" ref="E124:F127" si="22">IFERROR(E98/E$102,0)</f>
        <v>0.34674175382139982</v>
      </c>
      <c r="F124" s="223">
        <f t="shared" si="22"/>
        <v>0</v>
      </c>
      <c r="J124" s="337">
        <f>J98/$J$102</f>
        <v>0.82304930332316106</v>
      </c>
      <c r="K124" s="223">
        <f t="shared" ref="K124:L127" si="23">IFERROR(K98/K$102,0)</f>
        <v>0.35191956124314444</v>
      </c>
      <c r="L124" s="223">
        <f t="shared" si="23"/>
        <v>0</v>
      </c>
      <c r="P124" s="337">
        <f>P98/$P$102</f>
        <v>0.81330981126765456</v>
      </c>
      <c r="Q124" s="223">
        <f t="shared" ref="Q124:S127" si="24">IFERROR(Q98/Q$102,0)</f>
        <v>0.47379603399433429</v>
      </c>
      <c r="R124" s="223">
        <f t="shared" si="24"/>
        <v>0.41496062992125982</v>
      </c>
      <c r="S124" s="223">
        <f t="shared" si="24"/>
        <v>1</v>
      </c>
      <c r="W124" s="337">
        <f>W98/$W$102</f>
        <v>0.95180373364503013</v>
      </c>
      <c r="X124" s="223">
        <f t="shared" ref="X124:Z127" si="25">IFERROR(X98/X$102,0)</f>
        <v>1</v>
      </c>
      <c r="Y124" s="223">
        <f t="shared" si="25"/>
        <v>0</v>
      </c>
      <c r="Z124" s="223">
        <f t="shared" si="25"/>
        <v>1</v>
      </c>
      <c r="AD124" s="337">
        <f>AD98/$AD$102</f>
        <v>0.80988336484700008</v>
      </c>
      <c r="AE124" s="223">
        <f t="shared" ref="AE124:AG127" si="26">IFERROR(AE98/AE$102,0)</f>
        <v>1</v>
      </c>
      <c r="AF124" s="223">
        <f t="shared" si="26"/>
        <v>0</v>
      </c>
      <c r="AG124" s="223">
        <f t="shared" si="26"/>
        <v>1</v>
      </c>
      <c r="AK124" s="337">
        <f>AK98/$AK$102</f>
        <v>0.72136720290337542</v>
      </c>
      <c r="AL124" s="223">
        <f t="shared" ref="AL124:AN127" si="27">IFERROR(AL98/AL$102,0)</f>
        <v>1</v>
      </c>
      <c r="AM124" s="223">
        <f t="shared" si="27"/>
        <v>0</v>
      </c>
      <c r="AN124" s="223">
        <f t="shared" si="27"/>
        <v>1</v>
      </c>
      <c r="AR124" s="337">
        <f>AR98/$AR$102</f>
        <v>0.63646014992571653</v>
      </c>
      <c r="AS124" s="223">
        <f>IFERROR(AS98/AS$102,0)</f>
        <v>1</v>
      </c>
      <c r="AT124" s="223"/>
      <c r="AU124" s="223">
        <f t="shared" ref="AU124:AV127" si="28">IFERROR(AU98/AU$102,0)</f>
        <v>1</v>
      </c>
      <c r="AV124" s="223">
        <f t="shared" si="28"/>
        <v>0</v>
      </c>
      <c r="AY124" s="357">
        <f>AY98/$AY$102</f>
        <v>0.55083965296394688</v>
      </c>
    </row>
    <row r="125" spans="2:51">
      <c r="D125" s="221" t="s">
        <v>295</v>
      </c>
      <c r="E125" s="223">
        <f t="shared" si="22"/>
        <v>7.4818986323411107E-2</v>
      </c>
      <c r="F125" s="223">
        <f t="shared" si="22"/>
        <v>0</v>
      </c>
      <c r="J125" s="337">
        <f>J99/$J$102</f>
        <v>1.33826385823708E-2</v>
      </c>
      <c r="K125" s="223">
        <f t="shared" si="23"/>
        <v>5.9414990859232172E-2</v>
      </c>
      <c r="L125" s="223">
        <f t="shared" si="23"/>
        <v>0</v>
      </c>
      <c r="P125" s="337">
        <f>P99/$P$102</f>
        <v>1.7328187336340454E-2</v>
      </c>
      <c r="Q125" s="223">
        <f t="shared" si="24"/>
        <v>3.8951841359773372E-2</v>
      </c>
      <c r="R125" s="223">
        <f t="shared" si="24"/>
        <v>4.3307086614173228E-2</v>
      </c>
      <c r="S125" s="223">
        <f t="shared" si="24"/>
        <v>0</v>
      </c>
      <c r="W125" s="337">
        <f>W99/$W$102</f>
        <v>8.2189050283051832E-3</v>
      </c>
      <c r="X125" s="223">
        <f t="shared" si="25"/>
        <v>0</v>
      </c>
      <c r="Y125" s="223">
        <f t="shared" si="25"/>
        <v>0</v>
      </c>
      <c r="Z125" s="223">
        <f t="shared" si="25"/>
        <v>0</v>
      </c>
      <c r="AD125" s="337">
        <f>AD99/$AD$102</f>
        <v>6.3056507022461725E-2</v>
      </c>
      <c r="AE125" s="223">
        <f t="shared" si="26"/>
        <v>0</v>
      </c>
      <c r="AF125" s="223">
        <f t="shared" si="26"/>
        <v>0</v>
      </c>
      <c r="AG125" s="223">
        <f t="shared" si="26"/>
        <v>0</v>
      </c>
      <c r="AK125" s="337">
        <f>AK99/$AK$102</f>
        <v>9.1713564925331295E-2</v>
      </c>
      <c r="AL125" s="223">
        <f t="shared" si="27"/>
        <v>0</v>
      </c>
      <c r="AM125" s="223">
        <f t="shared" si="27"/>
        <v>0</v>
      </c>
      <c r="AN125" s="223">
        <f t="shared" si="27"/>
        <v>0</v>
      </c>
      <c r="AR125" s="337">
        <f>AR99/$AR$102</f>
        <v>0.12024053937839485</v>
      </c>
      <c r="AS125" s="223">
        <f>IFERROR(AS99/AS$102,0)</f>
        <v>0</v>
      </c>
      <c r="AT125" s="223"/>
      <c r="AU125" s="223">
        <f t="shared" si="28"/>
        <v>0</v>
      </c>
      <c r="AV125" s="223">
        <f t="shared" si="28"/>
        <v>0</v>
      </c>
      <c r="AY125" s="357">
        <f>AY99/$AY$102</f>
        <v>0.1488058214543343</v>
      </c>
    </row>
    <row r="126" spans="2:51">
      <c r="C126" s="148"/>
      <c r="D126" s="111" t="s">
        <v>296</v>
      </c>
      <c r="E126" s="223">
        <f t="shared" si="22"/>
        <v>8.286403861625101E-2</v>
      </c>
      <c r="F126" s="223">
        <f t="shared" si="22"/>
        <v>0</v>
      </c>
      <c r="J126" s="337">
        <f>J100/$J$102</f>
        <v>3.4961958606264214E-2</v>
      </c>
      <c r="K126" s="223">
        <f t="shared" si="23"/>
        <v>0.10329067641681901</v>
      </c>
      <c r="L126" s="223">
        <f t="shared" si="23"/>
        <v>0</v>
      </c>
      <c r="P126" s="337">
        <f>P100/$P$102</f>
        <v>4.2784564198616176E-2</v>
      </c>
      <c r="Q126" s="223">
        <f t="shared" si="24"/>
        <v>0.1281869688385269</v>
      </c>
      <c r="R126" s="223">
        <f t="shared" si="24"/>
        <v>0.14251968503937007</v>
      </c>
      <c r="S126" s="223">
        <f t="shared" si="24"/>
        <v>0</v>
      </c>
      <c r="W126" s="337">
        <f>W100/$W$102</f>
        <v>2.3951530704315063E-2</v>
      </c>
      <c r="X126" s="223">
        <f t="shared" si="25"/>
        <v>0</v>
      </c>
      <c r="Y126" s="223">
        <f t="shared" si="25"/>
        <v>0</v>
      </c>
      <c r="Z126" s="223">
        <f t="shared" si="25"/>
        <v>0</v>
      </c>
      <c r="AD126" s="337">
        <f>AD100/$AD$102</f>
        <v>6.3970596113467421E-2</v>
      </c>
      <c r="AE126" s="223">
        <f t="shared" si="26"/>
        <v>0</v>
      </c>
      <c r="AF126" s="223">
        <f t="shared" si="26"/>
        <v>0</v>
      </c>
      <c r="AG126" s="223">
        <f t="shared" si="26"/>
        <v>0</v>
      </c>
      <c r="AK126" s="337">
        <f>AK100/$AK$102</f>
        <v>9.5050269742077836E-2</v>
      </c>
      <c r="AL126" s="223">
        <f t="shared" si="27"/>
        <v>0</v>
      </c>
      <c r="AM126" s="223">
        <f t="shared" si="27"/>
        <v>0</v>
      </c>
      <c r="AN126" s="223">
        <f t="shared" si="27"/>
        <v>0</v>
      </c>
      <c r="AR126" s="337">
        <f>AR100/$AR$102</f>
        <v>0.12285634724673161</v>
      </c>
      <c r="AS126" s="223">
        <f>IFERROR(AS100/AS$102,0)</f>
        <v>0</v>
      </c>
      <c r="AT126" s="223"/>
      <c r="AU126" s="223">
        <f t="shared" si="28"/>
        <v>0</v>
      </c>
      <c r="AV126" s="223">
        <f t="shared" si="28"/>
        <v>0</v>
      </c>
      <c r="AY126" s="357">
        <f>AY100/$AY$102</f>
        <v>0.15134318295282131</v>
      </c>
    </row>
    <row r="127" spans="2:51">
      <c r="D127" s="219" t="s">
        <v>297</v>
      </c>
      <c r="E127" s="223">
        <f t="shared" si="22"/>
        <v>0.49557522123893805</v>
      </c>
      <c r="F127" s="223">
        <f t="shared" si="22"/>
        <v>0</v>
      </c>
      <c r="J127" s="337">
        <f>J101/$J$102</f>
        <v>0.1286060994882039</v>
      </c>
      <c r="K127" s="223">
        <f t="shared" si="23"/>
        <v>0.48537477148080438</v>
      </c>
      <c r="L127" s="223">
        <f t="shared" si="23"/>
        <v>0</v>
      </c>
      <c r="P127" s="337">
        <f>P101/$P$102</f>
        <v>0.12657743719738876</v>
      </c>
      <c r="Q127" s="223">
        <f t="shared" si="24"/>
        <v>0.35906515580736542</v>
      </c>
      <c r="R127" s="223">
        <f t="shared" si="24"/>
        <v>0.39921259842519685</v>
      </c>
      <c r="S127" s="223">
        <f t="shared" si="24"/>
        <v>0</v>
      </c>
      <c r="W127" s="337">
        <f>W101/$W$102</f>
        <v>1.6025830622349573E-2</v>
      </c>
      <c r="X127" s="223">
        <f t="shared" si="25"/>
        <v>0</v>
      </c>
      <c r="Y127" s="223">
        <f t="shared" si="25"/>
        <v>0</v>
      </c>
      <c r="Z127" s="223">
        <f t="shared" si="25"/>
        <v>0</v>
      </c>
      <c r="AD127" s="337">
        <f>AD101/$AD$102</f>
        <v>6.308953201707071E-2</v>
      </c>
      <c r="AE127" s="223">
        <f t="shared" si="26"/>
        <v>0</v>
      </c>
      <c r="AF127" s="223">
        <f t="shared" si="26"/>
        <v>0</v>
      </c>
      <c r="AG127" s="223">
        <f t="shared" si="26"/>
        <v>0</v>
      </c>
      <c r="AK127" s="337">
        <f>AK101/$AK$102</f>
        <v>9.1868962429215495E-2</v>
      </c>
      <c r="AL127" s="223">
        <f t="shared" si="27"/>
        <v>0</v>
      </c>
      <c r="AM127" s="223">
        <f t="shared" si="27"/>
        <v>0</v>
      </c>
      <c r="AN127" s="223">
        <f t="shared" si="27"/>
        <v>0</v>
      </c>
      <c r="AR127" s="337">
        <f>AR101/$AR$102</f>
        <v>0.12044296344915709</v>
      </c>
      <c r="AS127" s="223">
        <f>IFERROR(AS101/AS$102,0)</f>
        <v>0</v>
      </c>
      <c r="AT127" s="223"/>
      <c r="AU127" s="223">
        <f t="shared" si="28"/>
        <v>0</v>
      </c>
      <c r="AV127" s="223">
        <f t="shared" si="28"/>
        <v>0</v>
      </c>
      <c r="AY127" s="358">
        <f>AY101/$AY$102</f>
        <v>0.14901134262889745</v>
      </c>
    </row>
    <row r="128" spans="2:51" ht="13.5" thickBot="1">
      <c r="D128" s="116" t="s">
        <v>323</v>
      </c>
      <c r="E128" s="225">
        <f>SUM(E124:E127)</f>
        <v>1</v>
      </c>
      <c r="F128" s="225">
        <f>SUM(F124:F127)</f>
        <v>0</v>
      </c>
      <c r="G128" s="91"/>
      <c r="H128" s="106"/>
      <c r="I128" s="106"/>
      <c r="J128" s="338">
        <f>SUM(J124:J127)</f>
        <v>0.99999999999999989</v>
      </c>
      <c r="K128" s="225">
        <f>SUM(K124:K127)</f>
        <v>1</v>
      </c>
      <c r="L128" s="225">
        <f>SUM(L124:L127)</f>
        <v>0</v>
      </c>
      <c r="M128" s="106"/>
      <c r="N128" s="106"/>
      <c r="O128" s="106"/>
      <c r="P128" s="338">
        <f>SUM(P124:P127)</f>
        <v>1</v>
      </c>
      <c r="Q128" s="225">
        <f>SUM(Q124:Q127)</f>
        <v>1</v>
      </c>
      <c r="R128" s="225">
        <f>SUM(R124:R127)</f>
        <v>1</v>
      </c>
      <c r="S128" s="225">
        <f>SUM(S124:S127)</f>
        <v>1</v>
      </c>
      <c r="T128" s="106"/>
      <c r="U128" s="106"/>
      <c r="V128" s="106"/>
      <c r="W128" s="338">
        <f>SUM(W124:W127)</f>
        <v>0.99999999999999989</v>
      </c>
      <c r="X128" s="225">
        <f>SUM(X124:X127)</f>
        <v>1</v>
      </c>
      <c r="Y128" s="225">
        <f>SUM(Y124:Y127)</f>
        <v>0</v>
      </c>
      <c r="Z128" s="225">
        <f>SUM(Z124:Z127)</f>
        <v>1</v>
      </c>
      <c r="AA128" s="106"/>
      <c r="AB128" s="106"/>
      <c r="AC128" s="106"/>
      <c r="AD128" s="338">
        <f>SUM(AD124:AD127)</f>
        <v>0.99999999999999989</v>
      </c>
      <c r="AE128" s="225">
        <f>SUM(AE124:AE127)</f>
        <v>1</v>
      </c>
      <c r="AF128" s="225">
        <f>SUM(AF124:AF127)</f>
        <v>0</v>
      </c>
      <c r="AG128" s="225">
        <f>SUM(AG124:AG127)</f>
        <v>1</v>
      </c>
      <c r="AH128" s="106"/>
      <c r="AI128" s="106"/>
      <c r="AJ128" s="106"/>
      <c r="AK128" s="338">
        <f>SUM(AK124:AK127)</f>
        <v>1</v>
      </c>
      <c r="AL128" s="225">
        <f>SUM(AL124:AL127)</f>
        <v>1</v>
      </c>
      <c r="AM128" s="225">
        <f>SUM(AM124:AM127)</f>
        <v>0</v>
      </c>
      <c r="AN128" s="225">
        <f>SUM(AN124:AN127)</f>
        <v>1</v>
      </c>
      <c r="AO128" s="106"/>
      <c r="AP128" s="106"/>
      <c r="AQ128" s="106"/>
      <c r="AR128" s="338">
        <f>SUM(AR124:AR127)</f>
        <v>1</v>
      </c>
      <c r="AS128" s="225">
        <f>SUM(AS124:AS127)</f>
        <v>1</v>
      </c>
      <c r="AT128" s="225"/>
      <c r="AU128" s="225">
        <f>SUM(AU124:AU127)</f>
        <v>1</v>
      </c>
      <c r="AV128" s="225">
        <f>SUM(AV124:AV127)</f>
        <v>0</v>
      </c>
      <c r="AW128" s="106"/>
      <c r="AX128" s="106"/>
      <c r="AY128" s="359">
        <f>SUM(AY124:AY127)</f>
        <v>1</v>
      </c>
    </row>
    <row r="129" spans="4:51" ht="13.5" thickTop="1">
      <c r="D129" s="361"/>
    </row>
    <row r="130" spans="4:51" ht="13">
      <c r="D130" s="361" t="s">
        <v>327</v>
      </c>
    </row>
    <row r="131" spans="4:51" ht="13">
      <c r="D131" s="364"/>
      <c r="E131" s="307"/>
      <c r="F131" s="307"/>
      <c r="G131" s="307"/>
      <c r="H131" s="362"/>
      <c r="I131" s="362"/>
      <c r="J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62"/>
      <c r="AB131" s="362"/>
      <c r="AC131" s="362"/>
      <c r="AD131" s="362"/>
      <c r="AE131" s="362"/>
      <c r="AF131" s="362"/>
      <c r="AG131" s="362"/>
      <c r="AH131" s="362"/>
      <c r="AI131" s="362"/>
      <c r="AJ131" s="362"/>
      <c r="AK131" s="362"/>
      <c r="AL131" s="362"/>
      <c r="AM131" s="362"/>
      <c r="AN131" s="362"/>
      <c r="AO131" s="362"/>
      <c r="AP131" s="362"/>
      <c r="AQ131" s="362"/>
      <c r="AR131" s="362"/>
      <c r="AS131" s="362"/>
      <c r="AT131" s="362"/>
      <c r="AU131" s="362"/>
      <c r="AV131" s="362"/>
      <c r="AW131" s="362"/>
      <c r="AX131" s="362"/>
      <c r="AY131" s="362"/>
    </row>
    <row r="132" spans="4:51">
      <c r="D132" s="177" t="s">
        <v>292</v>
      </c>
      <c r="E132" s="223">
        <f t="shared" ref="E132:F136" si="29">IFERROR(E106/E$111,0)</f>
        <v>1</v>
      </c>
      <c r="F132" s="223">
        <f t="shared" si="29"/>
        <v>0</v>
      </c>
      <c r="J132" s="337">
        <f t="shared" ref="J132:L136" si="30">IFERROR(J106/J$111,0)</f>
        <v>0.69922155294268629</v>
      </c>
      <c r="K132" s="223">
        <f t="shared" si="30"/>
        <v>1</v>
      </c>
      <c r="L132" s="223">
        <f t="shared" si="30"/>
        <v>0</v>
      </c>
      <c r="P132" s="337">
        <f t="shared" ref="P132:S136" si="31">IFERROR(P106/P$111,0)</f>
        <v>0.70678587421706973</v>
      </c>
      <c r="Q132" s="223">
        <f t="shared" si="31"/>
        <v>1</v>
      </c>
      <c r="R132" s="223">
        <f t="shared" si="31"/>
        <v>1</v>
      </c>
      <c r="S132" s="223">
        <f t="shared" si="31"/>
        <v>1</v>
      </c>
      <c r="W132" s="337">
        <f t="shared" ref="W132:Z136" si="32">IFERROR(W106/W$111,0)</f>
        <v>0.88723590088551874</v>
      </c>
      <c r="X132" s="223">
        <f t="shared" si="32"/>
        <v>1</v>
      </c>
      <c r="Y132" s="223">
        <f t="shared" si="32"/>
        <v>1</v>
      </c>
      <c r="Z132" s="223">
        <f t="shared" si="32"/>
        <v>1</v>
      </c>
      <c r="AD132" s="337">
        <f t="shared" ref="AD132:AG136" si="33">IFERROR(AD106/AD$111,0)</f>
        <v>0.86945534390492218</v>
      </c>
      <c r="AE132" s="223">
        <f t="shared" si="33"/>
        <v>1</v>
      </c>
      <c r="AF132" s="223">
        <f t="shared" si="33"/>
        <v>1</v>
      </c>
      <c r="AG132" s="223">
        <f t="shared" si="33"/>
        <v>1</v>
      </c>
      <c r="AK132" s="337">
        <f t="shared" ref="AK132:AN136" si="34">IFERROR(AK106/AK$111,0)</f>
        <v>0.86787386041899706</v>
      </c>
      <c r="AL132" s="223">
        <f t="shared" si="34"/>
        <v>1</v>
      </c>
      <c r="AM132" s="223">
        <f t="shared" si="34"/>
        <v>1</v>
      </c>
      <c r="AN132" s="223">
        <f t="shared" si="34"/>
        <v>1</v>
      </c>
      <c r="AR132" s="337">
        <f t="shared" ref="AR132:AS136" si="35">IFERROR(AR106/AR$111,0)</f>
        <v>0.86451552966308043</v>
      </c>
      <c r="AS132" s="223">
        <f t="shared" si="35"/>
        <v>1</v>
      </c>
      <c r="AT132" s="223"/>
      <c r="AU132" s="223">
        <f t="shared" ref="AU132:AV136" si="36">IFERROR(AU106/AU$111,0)</f>
        <v>1</v>
      </c>
      <c r="AV132" s="223">
        <f t="shared" si="36"/>
        <v>0</v>
      </c>
      <c r="AY132" s="337">
        <f>IFERROR(AY106/AY$111,0)</f>
        <v>0.86247494865146579</v>
      </c>
    </row>
    <row r="133" spans="4:51">
      <c r="D133" s="177" t="s">
        <v>316</v>
      </c>
      <c r="E133" s="223">
        <f t="shared" si="29"/>
        <v>0</v>
      </c>
      <c r="F133" s="223">
        <f t="shared" si="29"/>
        <v>0</v>
      </c>
      <c r="J133" s="337">
        <f t="shared" si="30"/>
        <v>3.1388159471401972E-2</v>
      </c>
      <c r="K133" s="223">
        <f t="shared" si="30"/>
        <v>0</v>
      </c>
      <c r="L133" s="223">
        <f t="shared" si="30"/>
        <v>0</v>
      </c>
      <c r="P133" s="337">
        <f t="shared" si="31"/>
        <v>1.7887611487562821E-2</v>
      </c>
      <c r="Q133" s="223">
        <f t="shared" si="31"/>
        <v>0</v>
      </c>
      <c r="R133" s="223">
        <f t="shared" si="31"/>
        <v>0</v>
      </c>
      <c r="S133" s="223">
        <f t="shared" si="31"/>
        <v>0</v>
      </c>
      <c r="W133" s="337">
        <f t="shared" si="32"/>
        <v>3.3712313231647553E-4</v>
      </c>
      <c r="X133" s="223">
        <f t="shared" si="32"/>
        <v>0</v>
      </c>
      <c r="Y133" s="223">
        <f t="shared" si="32"/>
        <v>0</v>
      </c>
      <c r="Z133" s="223">
        <f t="shared" si="32"/>
        <v>0</v>
      </c>
      <c r="AD133" s="337">
        <f t="shared" si="33"/>
        <v>5.2583630708908959E-3</v>
      </c>
      <c r="AE133" s="223">
        <f t="shared" si="33"/>
        <v>0</v>
      </c>
      <c r="AF133" s="223">
        <f t="shared" si="33"/>
        <v>0</v>
      </c>
      <c r="AG133" s="223">
        <f t="shared" si="33"/>
        <v>0</v>
      </c>
      <c r="AK133" s="337">
        <f t="shared" si="34"/>
        <v>4.759119084635847E-3</v>
      </c>
      <c r="AL133" s="223">
        <f t="shared" si="34"/>
        <v>0</v>
      </c>
      <c r="AM133" s="223">
        <f t="shared" si="34"/>
        <v>0</v>
      </c>
      <c r="AN133" s="223">
        <f t="shared" si="34"/>
        <v>0</v>
      </c>
      <c r="AR133" s="337">
        <f t="shared" si="35"/>
        <v>4.5211650947941037E-3</v>
      </c>
      <c r="AS133" s="223">
        <f t="shared" si="35"/>
        <v>0</v>
      </c>
      <c r="AT133" s="223"/>
      <c r="AU133" s="223">
        <f t="shared" si="36"/>
        <v>0</v>
      </c>
      <c r="AV133" s="223">
        <f t="shared" si="36"/>
        <v>0</v>
      </c>
      <c r="AY133" s="337">
        <f>IFERROR(AY107/AY$111,0)</f>
        <v>4.6453984007096619E-3</v>
      </c>
    </row>
    <row r="134" spans="4:51">
      <c r="D134" s="177" t="s">
        <v>318</v>
      </c>
      <c r="E134" s="223">
        <f t="shared" si="29"/>
        <v>0</v>
      </c>
      <c r="F134" s="223">
        <f t="shared" si="29"/>
        <v>0</v>
      </c>
      <c r="J134" s="337">
        <f t="shared" si="30"/>
        <v>3.1688327332847238E-2</v>
      </c>
      <c r="K134" s="223">
        <f t="shared" si="30"/>
        <v>0</v>
      </c>
      <c r="L134" s="223">
        <f t="shared" si="30"/>
        <v>0</v>
      </c>
      <c r="P134" s="337">
        <f t="shared" si="31"/>
        <v>3.2928245241443166E-2</v>
      </c>
      <c r="Q134" s="223">
        <f t="shared" si="31"/>
        <v>0</v>
      </c>
      <c r="R134" s="223">
        <f t="shared" si="31"/>
        <v>0</v>
      </c>
      <c r="S134" s="223">
        <f t="shared" si="31"/>
        <v>0</v>
      </c>
      <c r="W134" s="337">
        <f t="shared" si="32"/>
        <v>2.3459718933262971E-2</v>
      </c>
      <c r="X134" s="223">
        <f t="shared" si="32"/>
        <v>0</v>
      </c>
      <c r="Y134" s="223">
        <f t="shared" si="32"/>
        <v>0</v>
      </c>
      <c r="Z134" s="223">
        <f t="shared" si="32"/>
        <v>0</v>
      </c>
      <c r="AD134" s="337">
        <f t="shared" si="33"/>
        <v>2.2864599894132649E-2</v>
      </c>
      <c r="AE134" s="223">
        <f t="shared" si="33"/>
        <v>0</v>
      </c>
      <c r="AF134" s="223">
        <f t="shared" si="33"/>
        <v>0</v>
      </c>
      <c r="AG134" s="223">
        <f t="shared" si="33"/>
        <v>0</v>
      </c>
      <c r="AK134" s="337">
        <f t="shared" si="34"/>
        <v>2.2667144506203725E-2</v>
      </c>
      <c r="AL134" s="223">
        <f t="shared" si="34"/>
        <v>0</v>
      </c>
      <c r="AM134" s="223">
        <f t="shared" si="34"/>
        <v>0</v>
      </c>
      <c r="AN134" s="223">
        <f t="shared" si="34"/>
        <v>0</v>
      </c>
      <c r="AR134" s="337">
        <f t="shared" si="35"/>
        <v>2.3080422914860507E-2</v>
      </c>
      <c r="AS134" s="223">
        <f t="shared" si="35"/>
        <v>0</v>
      </c>
      <c r="AT134" s="223"/>
      <c r="AU134" s="223">
        <f t="shared" si="36"/>
        <v>0</v>
      </c>
      <c r="AV134" s="223">
        <f t="shared" si="36"/>
        <v>0</v>
      </c>
      <c r="AY134" s="337">
        <f>IFERROR(AY108/AY$111,0)</f>
        <v>2.3487643398744294E-2</v>
      </c>
    </row>
    <row r="135" spans="4:51">
      <c r="D135" s="177" t="s">
        <v>319</v>
      </c>
      <c r="E135" s="223">
        <f t="shared" si="29"/>
        <v>0</v>
      </c>
      <c r="F135" s="223">
        <f t="shared" si="29"/>
        <v>0</v>
      </c>
      <c r="J135" s="337">
        <f t="shared" si="30"/>
        <v>2.0610230040219633E-3</v>
      </c>
      <c r="K135" s="223">
        <f t="shared" si="30"/>
        <v>0</v>
      </c>
      <c r="L135" s="223">
        <f t="shared" si="30"/>
        <v>0</v>
      </c>
      <c r="P135" s="337">
        <f t="shared" si="31"/>
        <v>4.1941355657410467E-4</v>
      </c>
      <c r="Q135" s="223">
        <f t="shared" si="31"/>
        <v>0</v>
      </c>
      <c r="R135" s="223">
        <f t="shared" si="31"/>
        <v>0</v>
      </c>
      <c r="S135" s="223">
        <f t="shared" si="31"/>
        <v>0</v>
      </c>
      <c r="W135" s="337">
        <f t="shared" si="32"/>
        <v>3.2705181293429578E-3</v>
      </c>
      <c r="X135" s="223">
        <f t="shared" si="32"/>
        <v>0</v>
      </c>
      <c r="Y135" s="223">
        <f t="shared" si="32"/>
        <v>0</v>
      </c>
      <c r="Z135" s="223">
        <f t="shared" si="32"/>
        <v>0</v>
      </c>
      <c r="AD135" s="337">
        <f t="shared" si="33"/>
        <v>5.1470094999779125E-3</v>
      </c>
      <c r="AE135" s="223">
        <f t="shared" si="33"/>
        <v>0</v>
      </c>
      <c r="AF135" s="223">
        <f t="shared" si="33"/>
        <v>0</v>
      </c>
      <c r="AG135" s="223">
        <f t="shared" si="33"/>
        <v>0</v>
      </c>
      <c r="AK135" s="337">
        <f t="shared" si="34"/>
        <v>8.2652425022620973E-3</v>
      </c>
      <c r="AL135" s="223">
        <f t="shared" si="34"/>
        <v>0</v>
      </c>
      <c r="AM135" s="223">
        <f t="shared" si="34"/>
        <v>0</v>
      </c>
      <c r="AN135" s="223">
        <f t="shared" si="34"/>
        <v>0</v>
      </c>
      <c r="AR135" s="337">
        <f t="shared" si="35"/>
        <v>9.6900056757233451E-3</v>
      </c>
      <c r="AS135" s="223">
        <f t="shared" si="35"/>
        <v>0</v>
      </c>
      <c r="AT135" s="223"/>
      <c r="AU135" s="223">
        <f t="shared" si="36"/>
        <v>0</v>
      </c>
      <c r="AV135" s="223">
        <f t="shared" si="36"/>
        <v>0</v>
      </c>
      <c r="AY135" s="337">
        <f>IFERROR(AY109/AY$111,0)</f>
        <v>9.4666624444847969E-3</v>
      </c>
    </row>
    <row r="136" spans="4:51">
      <c r="D136" s="177" t="s">
        <v>320</v>
      </c>
      <c r="E136" s="223">
        <f t="shared" si="29"/>
        <v>0</v>
      </c>
      <c r="F136" s="223">
        <f t="shared" si="29"/>
        <v>0</v>
      </c>
      <c r="J136" s="337">
        <f t="shared" si="30"/>
        <v>0.23564093724904245</v>
      </c>
      <c r="K136" s="223">
        <f t="shared" si="30"/>
        <v>0</v>
      </c>
      <c r="L136" s="223">
        <f t="shared" si="30"/>
        <v>0</v>
      </c>
      <c r="P136" s="337">
        <f t="shared" si="31"/>
        <v>0.24197885549735026</v>
      </c>
      <c r="Q136" s="223">
        <f t="shared" si="31"/>
        <v>0</v>
      </c>
      <c r="R136" s="223">
        <f t="shared" si="31"/>
        <v>0</v>
      </c>
      <c r="S136" s="223">
        <f t="shared" si="31"/>
        <v>0</v>
      </c>
      <c r="W136" s="337">
        <f t="shared" si="32"/>
        <v>8.5696738919558896E-2</v>
      </c>
      <c r="X136" s="223">
        <f t="shared" si="32"/>
        <v>0</v>
      </c>
      <c r="Y136" s="223">
        <f t="shared" si="32"/>
        <v>0</v>
      </c>
      <c r="Z136" s="223">
        <f t="shared" si="32"/>
        <v>0</v>
      </c>
      <c r="AD136" s="337">
        <f t="shared" si="33"/>
        <v>9.7274683630076311E-2</v>
      </c>
      <c r="AE136" s="223">
        <f t="shared" si="33"/>
        <v>0</v>
      </c>
      <c r="AF136" s="223">
        <f t="shared" si="33"/>
        <v>0</v>
      </c>
      <c r="AG136" s="223">
        <f t="shared" si="33"/>
        <v>0</v>
      </c>
      <c r="AK136" s="337">
        <f t="shared" si="34"/>
        <v>9.6434633487901336E-2</v>
      </c>
      <c r="AL136" s="223">
        <f t="shared" si="34"/>
        <v>0</v>
      </c>
      <c r="AM136" s="223">
        <f t="shared" si="34"/>
        <v>0</v>
      </c>
      <c r="AN136" s="223">
        <f t="shared" si="34"/>
        <v>0</v>
      </c>
      <c r="AR136" s="337">
        <f t="shared" si="35"/>
        <v>9.8192876651541638E-2</v>
      </c>
      <c r="AS136" s="223">
        <f t="shared" si="35"/>
        <v>0</v>
      </c>
      <c r="AT136" s="223"/>
      <c r="AU136" s="223">
        <f t="shared" si="36"/>
        <v>0</v>
      </c>
      <c r="AV136" s="223">
        <f t="shared" si="36"/>
        <v>0</v>
      </c>
      <c r="AY136" s="337">
        <f>IFERROR(AY110/AY$111,0)</f>
        <v>9.9925347104595469E-2</v>
      </c>
    </row>
    <row r="137" spans="4:51" ht="13.5" thickBot="1">
      <c r="D137" s="116" t="s">
        <v>323</v>
      </c>
      <c r="E137" s="224">
        <f>SUM(E132:E136)</f>
        <v>1</v>
      </c>
      <c r="F137" s="224">
        <f>SUM(F132:F136)</f>
        <v>0</v>
      </c>
      <c r="G137" s="91"/>
      <c r="H137" s="106"/>
      <c r="I137" s="106"/>
      <c r="J137" s="338">
        <f>SUM(J132:J136)</f>
        <v>0.99999999999999989</v>
      </c>
      <c r="K137" s="224">
        <f>SUM(K132:K136)</f>
        <v>1</v>
      </c>
      <c r="L137" s="224">
        <f>SUM(L132:L136)</f>
        <v>0</v>
      </c>
      <c r="M137" s="106"/>
      <c r="N137" s="106"/>
      <c r="O137" s="106"/>
      <c r="P137" s="338">
        <f>SUM(P132:P136)</f>
        <v>1</v>
      </c>
      <c r="Q137" s="224">
        <f>SUM(Q132:Q136)</f>
        <v>1</v>
      </c>
      <c r="R137" s="224">
        <f>SUM(R132:R136)</f>
        <v>1</v>
      </c>
      <c r="S137" s="224">
        <f>SUM(S132:S136)</f>
        <v>1</v>
      </c>
      <c r="T137" s="106"/>
      <c r="U137" s="106"/>
      <c r="V137" s="106"/>
      <c r="W137" s="338">
        <f>SUM(W132:W136)</f>
        <v>1</v>
      </c>
      <c r="X137" s="224">
        <f>SUM(X132:X136)</f>
        <v>1</v>
      </c>
      <c r="Y137" s="224">
        <f>SUM(Y132:Y136)</f>
        <v>1</v>
      </c>
      <c r="Z137" s="224">
        <f>SUM(Z132:Z136)</f>
        <v>1</v>
      </c>
      <c r="AA137" s="106"/>
      <c r="AB137" s="106"/>
      <c r="AC137" s="106"/>
      <c r="AD137" s="338">
        <f>SUM(AD132:AD136)</f>
        <v>1</v>
      </c>
      <c r="AE137" s="224">
        <f>SUM(AE132:AE136)</f>
        <v>1</v>
      </c>
      <c r="AF137" s="224">
        <f>SUM(AF132:AF136)</f>
        <v>1</v>
      </c>
      <c r="AG137" s="224">
        <f>SUM(AG132:AG136)</f>
        <v>1</v>
      </c>
      <c r="AH137" s="106"/>
      <c r="AI137" s="106"/>
      <c r="AJ137" s="106"/>
      <c r="AK137" s="338">
        <f>SUM(AK132:AK136)</f>
        <v>1.0000000000000002</v>
      </c>
      <c r="AL137" s="224">
        <f>SUM(AL132:AL136)</f>
        <v>1</v>
      </c>
      <c r="AM137" s="224">
        <f>SUM(AM132:AM136)</f>
        <v>1</v>
      </c>
      <c r="AN137" s="224">
        <f>SUM(AN132:AN136)</f>
        <v>1</v>
      </c>
      <c r="AO137" s="106"/>
      <c r="AP137" s="106"/>
      <c r="AQ137" s="106"/>
      <c r="AR137" s="338">
        <f>SUM(AR132:AR136)</f>
        <v>0.99999999999999989</v>
      </c>
      <c r="AS137" s="224">
        <f>SUM(AS132:AS136)</f>
        <v>1</v>
      </c>
      <c r="AT137" s="224"/>
      <c r="AU137" s="224">
        <f>SUM(AU132:AU136)</f>
        <v>1</v>
      </c>
      <c r="AV137" s="224">
        <f>SUM(AV132:AV136)</f>
        <v>0</v>
      </c>
      <c r="AW137" s="106"/>
      <c r="AX137" s="106"/>
      <c r="AY137" s="338">
        <f>SUM(AY132:AY136)</f>
        <v>1</v>
      </c>
    </row>
    <row r="138" spans="4:51" ht="13.5" thickTop="1">
      <c r="D138" s="250"/>
    </row>
    <row r="139" spans="4:51" ht="13">
      <c r="D139" s="364" t="s">
        <v>328</v>
      </c>
      <c r="E139" s="307"/>
      <c r="F139" s="307"/>
      <c r="G139" s="307"/>
      <c r="H139" s="362"/>
      <c r="I139" s="362"/>
      <c r="J139" s="362"/>
      <c r="K139" s="362"/>
      <c r="L139" s="362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  <c r="Z139" s="362"/>
      <c r="AA139" s="362"/>
      <c r="AB139" s="362"/>
      <c r="AC139" s="362"/>
      <c r="AD139" s="362"/>
      <c r="AE139" s="362"/>
      <c r="AF139" s="362"/>
      <c r="AG139" s="362"/>
      <c r="AH139" s="362"/>
      <c r="AI139" s="362"/>
      <c r="AJ139" s="362"/>
      <c r="AK139" s="362"/>
      <c r="AL139" s="362"/>
      <c r="AM139" s="362"/>
      <c r="AN139" s="362"/>
      <c r="AO139" s="362"/>
      <c r="AP139" s="362"/>
      <c r="AQ139" s="362"/>
      <c r="AR139" s="362"/>
      <c r="AS139" s="362"/>
      <c r="AT139" s="362"/>
      <c r="AU139" s="362"/>
      <c r="AV139" s="362"/>
      <c r="AW139" s="362"/>
      <c r="AX139" s="362"/>
      <c r="AY139" s="362"/>
    </row>
    <row r="140" spans="4:51">
      <c r="D140" s="218" t="s">
        <v>95</v>
      </c>
      <c r="E140" s="223">
        <f t="shared" ref="E140:F144" si="37">IFERROR(E115/E$120,0)</f>
        <v>0.28157683024939661</v>
      </c>
      <c r="F140" s="223">
        <f t="shared" si="37"/>
        <v>0</v>
      </c>
      <c r="J140" s="337">
        <f t="shared" ref="J140:L144" si="38">IFERROR(J115/J$120,0)</f>
        <v>0.27646778506281089</v>
      </c>
      <c r="K140" s="223">
        <f t="shared" si="38"/>
        <v>0.3436928702010969</v>
      </c>
      <c r="L140" s="223">
        <f t="shared" si="38"/>
        <v>0</v>
      </c>
      <c r="M140" s="68"/>
      <c r="P140" s="337">
        <f t="shared" ref="P140:S144" si="39">IFERROR(P115/P$120,0)</f>
        <v>0.6295192149135479</v>
      </c>
      <c r="Q140" s="223">
        <f t="shared" si="39"/>
        <v>0.38668555240793201</v>
      </c>
      <c r="R140" s="223">
        <f t="shared" si="39"/>
        <v>0.37401574803149606</v>
      </c>
      <c r="S140" s="223">
        <f t="shared" si="39"/>
        <v>0.5</v>
      </c>
      <c r="W140" s="337">
        <f t="shared" ref="W140:Z144" si="40">IFERROR(W115/W$120,0)</f>
        <v>0.61681698588989742</v>
      </c>
      <c r="X140" s="223">
        <f t="shared" si="40"/>
        <v>0</v>
      </c>
      <c r="Y140" s="223">
        <f t="shared" si="40"/>
        <v>0</v>
      </c>
      <c r="Z140" s="223">
        <f t="shared" si="40"/>
        <v>0</v>
      </c>
      <c r="AD140" s="337">
        <f t="shared" ref="AD140:AG144" si="41">IFERROR(AD115/AD$120,0)</f>
        <v>0.61523659867258951</v>
      </c>
      <c r="AE140" s="223">
        <f t="shared" si="41"/>
        <v>0</v>
      </c>
      <c r="AF140" s="223">
        <f t="shared" si="41"/>
        <v>0</v>
      </c>
      <c r="AG140" s="223">
        <f t="shared" si="41"/>
        <v>0</v>
      </c>
      <c r="AK140" s="337">
        <f t="shared" ref="AK140:AN144" si="42">IFERROR(AK115/AK$120,0)</f>
        <v>0.61304714723310338</v>
      </c>
      <c r="AL140" s="223">
        <f t="shared" si="42"/>
        <v>0</v>
      </c>
      <c r="AM140" s="223">
        <f t="shared" si="42"/>
        <v>0</v>
      </c>
      <c r="AN140" s="223">
        <f t="shared" si="42"/>
        <v>0</v>
      </c>
      <c r="AR140" s="337">
        <f t="shared" ref="AR140:AS144" si="43">IFERROR(AR115/AR$120,0)</f>
        <v>0.60587012223843317</v>
      </c>
      <c r="AS140" s="223">
        <f t="shared" si="43"/>
        <v>0</v>
      </c>
      <c r="AT140" s="223"/>
      <c r="AU140" s="223">
        <f t="shared" ref="AU140:AV144" si="44">IFERROR(AU115/AU$120,0)</f>
        <v>0</v>
      </c>
      <c r="AV140" s="223">
        <f t="shared" si="44"/>
        <v>0</v>
      </c>
      <c r="AY140" s="337">
        <f>IFERROR(AY115/AY$120,0)</f>
        <v>0.59789857722323825</v>
      </c>
    </row>
    <row r="141" spans="4:51">
      <c r="D141" s="218" t="s">
        <v>301</v>
      </c>
      <c r="E141" s="223">
        <f t="shared" si="37"/>
        <v>0.26709573612228482</v>
      </c>
      <c r="F141" s="223">
        <f t="shared" si="37"/>
        <v>0</v>
      </c>
      <c r="J141" s="337">
        <f t="shared" si="38"/>
        <v>0.20819899934861619</v>
      </c>
      <c r="K141" s="223">
        <f t="shared" si="38"/>
        <v>0.21023765996343693</v>
      </c>
      <c r="L141" s="223">
        <f t="shared" si="38"/>
        <v>0</v>
      </c>
      <c r="M141" s="68"/>
      <c r="P141" s="337">
        <f t="shared" si="39"/>
        <v>0.13322263174168333</v>
      </c>
      <c r="Q141" s="223">
        <f t="shared" si="39"/>
        <v>0.17280453257790368</v>
      </c>
      <c r="R141" s="223">
        <f t="shared" si="39"/>
        <v>0.16976377952755906</v>
      </c>
      <c r="S141" s="223">
        <f t="shared" si="39"/>
        <v>0.19999999999999998</v>
      </c>
      <c r="W141" s="337">
        <f t="shared" si="40"/>
        <v>0.12874790222594668</v>
      </c>
      <c r="X141" s="223">
        <f t="shared" si="40"/>
        <v>0</v>
      </c>
      <c r="Y141" s="223">
        <f t="shared" si="40"/>
        <v>0</v>
      </c>
      <c r="Z141" s="223">
        <f t="shared" si="40"/>
        <v>0</v>
      </c>
      <c r="AD141" s="337">
        <f t="shared" si="41"/>
        <v>0.13062933565427878</v>
      </c>
      <c r="AE141" s="223">
        <f t="shared" si="41"/>
        <v>0</v>
      </c>
      <c r="AF141" s="223">
        <f t="shared" si="41"/>
        <v>0</v>
      </c>
      <c r="AG141" s="223">
        <f t="shared" si="41"/>
        <v>0</v>
      </c>
      <c r="AK141" s="337">
        <f t="shared" si="42"/>
        <v>0.13252237472209044</v>
      </c>
      <c r="AL141" s="223">
        <f t="shared" si="42"/>
        <v>0</v>
      </c>
      <c r="AM141" s="223">
        <f t="shared" si="42"/>
        <v>0</v>
      </c>
      <c r="AN141" s="223">
        <f t="shared" si="42"/>
        <v>0</v>
      </c>
      <c r="AR141" s="337">
        <f t="shared" si="43"/>
        <v>0.13485158460271091</v>
      </c>
      <c r="AS141" s="223">
        <f t="shared" si="43"/>
        <v>0</v>
      </c>
      <c r="AT141" s="223"/>
      <c r="AU141" s="223">
        <f t="shared" si="44"/>
        <v>0</v>
      </c>
      <c r="AV141" s="223">
        <f t="shared" si="44"/>
        <v>0</v>
      </c>
      <c r="AY141" s="337">
        <f>IFERROR(AY116/AY$120,0)</f>
        <v>0.13731691677005298</v>
      </c>
    </row>
    <row r="142" spans="4:51">
      <c r="D142" s="218" t="s">
        <v>102</v>
      </c>
      <c r="E142" s="223">
        <f t="shared" si="37"/>
        <v>0.24698310539018503</v>
      </c>
      <c r="F142" s="223">
        <f t="shared" si="37"/>
        <v>0</v>
      </c>
      <c r="J142" s="337">
        <f t="shared" si="38"/>
        <v>0.22949201420843968</v>
      </c>
      <c r="K142" s="223">
        <f t="shared" si="38"/>
        <v>0.19652650822669104</v>
      </c>
      <c r="L142" s="223">
        <f t="shared" si="38"/>
        <v>0</v>
      </c>
      <c r="M142" s="68"/>
      <c r="P142" s="337">
        <f t="shared" si="39"/>
        <v>0.10582206246915934</v>
      </c>
      <c r="Q142" s="223">
        <f t="shared" si="39"/>
        <v>0.2245042492917847</v>
      </c>
      <c r="R142" s="223">
        <f t="shared" si="39"/>
        <v>0.227244094488189</v>
      </c>
      <c r="S142" s="223">
        <f t="shared" si="39"/>
        <v>0.19999999999999998</v>
      </c>
      <c r="W142" s="337">
        <f t="shared" si="40"/>
        <v>0.1501934325561109</v>
      </c>
      <c r="X142" s="223">
        <f t="shared" si="40"/>
        <v>0</v>
      </c>
      <c r="Y142" s="223">
        <f t="shared" si="40"/>
        <v>0</v>
      </c>
      <c r="Z142" s="223">
        <f t="shared" si="40"/>
        <v>0</v>
      </c>
      <c r="AD142" s="337">
        <f t="shared" si="41"/>
        <v>0.15332460547045637</v>
      </c>
      <c r="AE142" s="223">
        <f t="shared" si="41"/>
        <v>0</v>
      </c>
      <c r="AF142" s="223">
        <f t="shared" si="41"/>
        <v>0</v>
      </c>
      <c r="AG142" s="223">
        <f t="shared" si="41"/>
        <v>0</v>
      </c>
      <c r="AK142" s="337">
        <f t="shared" si="42"/>
        <v>0.15652806284444129</v>
      </c>
      <c r="AL142" s="223">
        <f t="shared" si="42"/>
        <v>0</v>
      </c>
      <c r="AM142" s="223">
        <f t="shared" si="42"/>
        <v>0</v>
      </c>
      <c r="AN142" s="223">
        <f t="shared" si="42"/>
        <v>0</v>
      </c>
      <c r="AR142" s="337">
        <f t="shared" si="43"/>
        <v>0.16086585557068611</v>
      </c>
      <c r="AS142" s="223">
        <f t="shared" si="43"/>
        <v>0</v>
      </c>
      <c r="AT142" s="223"/>
      <c r="AU142" s="223">
        <f t="shared" si="44"/>
        <v>0</v>
      </c>
      <c r="AV142" s="223">
        <f t="shared" si="44"/>
        <v>0</v>
      </c>
      <c r="AY142" s="337">
        <f>IFERROR(AY117/AY$120,0)</f>
        <v>0.1654903063834047</v>
      </c>
    </row>
    <row r="143" spans="4:51">
      <c r="D143" s="218" t="s">
        <v>107</v>
      </c>
      <c r="E143" s="223">
        <f t="shared" si="37"/>
        <v>0.20434432823813356</v>
      </c>
      <c r="F143" s="223">
        <f t="shared" si="37"/>
        <v>0</v>
      </c>
      <c r="J143" s="337">
        <f t="shared" si="38"/>
        <v>0.28584120138013319</v>
      </c>
      <c r="K143" s="223">
        <f t="shared" si="38"/>
        <v>0.24954296160877515</v>
      </c>
      <c r="L143" s="223">
        <f t="shared" si="38"/>
        <v>0</v>
      </c>
      <c r="M143" s="68"/>
      <c r="P143" s="337">
        <f t="shared" si="39"/>
        <v>0.13143609087560959</v>
      </c>
      <c r="Q143" s="223">
        <f t="shared" si="39"/>
        <v>0.21600566572237961</v>
      </c>
      <c r="R143" s="223">
        <f t="shared" si="39"/>
        <v>0.22897637795275588</v>
      </c>
      <c r="S143" s="223">
        <f t="shared" si="39"/>
        <v>0.10000000000000002</v>
      </c>
      <c r="W143" s="337">
        <f t="shared" si="40"/>
        <v>0.104241679328045</v>
      </c>
      <c r="X143" s="223">
        <f t="shared" si="40"/>
        <v>0</v>
      </c>
      <c r="Y143" s="223">
        <f t="shared" si="40"/>
        <v>0</v>
      </c>
      <c r="Z143" s="223">
        <f t="shared" si="40"/>
        <v>0</v>
      </c>
      <c r="AD143" s="337">
        <f t="shared" si="41"/>
        <v>0.10080946020267534</v>
      </c>
      <c r="AE143" s="223">
        <f t="shared" si="41"/>
        <v>0</v>
      </c>
      <c r="AF143" s="223">
        <f t="shared" si="41"/>
        <v>0</v>
      </c>
      <c r="AG143" s="223">
        <f t="shared" si="41"/>
        <v>0</v>
      </c>
      <c r="AK143" s="337">
        <f t="shared" si="42"/>
        <v>9.7902415200365009E-2</v>
      </c>
      <c r="AL143" s="223">
        <f t="shared" si="42"/>
        <v>0</v>
      </c>
      <c r="AM143" s="223">
        <f t="shared" si="42"/>
        <v>0</v>
      </c>
      <c r="AN143" s="223">
        <f t="shared" si="42"/>
        <v>0</v>
      </c>
      <c r="AR143" s="337">
        <f t="shared" si="43"/>
        <v>9.8412437588169879E-2</v>
      </c>
      <c r="AS143" s="223">
        <f t="shared" si="43"/>
        <v>0</v>
      </c>
      <c r="AT143" s="223"/>
      <c r="AU143" s="223">
        <f t="shared" si="44"/>
        <v>0</v>
      </c>
      <c r="AV143" s="223">
        <f t="shared" si="44"/>
        <v>0</v>
      </c>
      <c r="AY143" s="337">
        <f>IFERROR(AY118/AY$120,0)</f>
        <v>9.9294199623304047E-2</v>
      </c>
    </row>
    <row r="144" spans="4:51">
      <c r="D144" s="218" t="s">
        <v>384</v>
      </c>
      <c r="E144" s="223">
        <f t="shared" si="37"/>
        <v>0</v>
      </c>
      <c r="F144" s="223">
        <f t="shared" si="37"/>
        <v>0</v>
      </c>
      <c r="J144" s="337">
        <f t="shared" si="38"/>
        <v>0</v>
      </c>
      <c r="K144" s="223">
        <f t="shared" si="38"/>
        <v>0</v>
      </c>
      <c r="L144" s="223">
        <f t="shared" si="38"/>
        <v>0</v>
      </c>
      <c r="M144" s="68"/>
      <c r="P144" s="337">
        <f t="shared" si="39"/>
        <v>0</v>
      </c>
      <c r="Q144" s="223">
        <f t="shared" si="39"/>
        <v>0</v>
      </c>
      <c r="R144" s="223">
        <f t="shared" si="39"/>
        <v>0</v>
      </c>
      <c r="S144" s="223">
        <f t="shared" si="39"/>
        <v>0</v>
      </c>
      <c r="W144" s="337">
        <f t="shared" si="40"/>
        <v>0</v>
      </c>
      <c r="X144" s="223">
        <f t="shared" si="40"/>
        <v>0</v>
      </c>
      <c r="Y144" s="223">
        <f t="shared" si="40"/>
        <v>0</v>
      </c>
      <c r="Z144" s="223">
        <f t="shared" si="40"/>
        <v>0</v>
      </c>
      <c r="AD144" s="337">
        <f t="shared" si="41"/>
        <v>0</v>
      </c>
      <c r="AE144" s="223">
        <f t="shared" si="41"/>
        <v>0</v>
      </c>
      <c r="AF144" s="223">
        <f t="shared" si="41"/>
        <v>0</v>
      </c>
      <c r="AG144" s="223">
        <f t="shared" si="41"/>
        <v>0</v>
      </c>
      <c r="AK144" s="337">
        <f t="shared" si="42"/>
        <v>0</v>
      </c>
      <c r="AL144" s="223">
        <f t="shared" si="42"/>
        <v>0</v>
      </c>
      <c r="AM144" s="223">
        <f t="shared" si="42"/>
        <v>0</v>
      </c>
      <c r="AN144" s="223">
        <f t="shared" si="42"/>
        <v>0</v>
      </c>
      <c r="AR144" s="337">
        <f t="shared" si="43"/>
        <v>0</v>
      </c>
      <c r="AS144" s="223">
        <f t="shared" si="43"/>
        <v>0</v>
      </c>
      <c r="AT144" s="223"/>
      <c r="AU144" s="223">
        <f t="shared" si="44"/>
        <v>0</v>
      </c>
      <c r="AV144" s="223">
        <f t="shared" si="44"/>
        <v>0</v>
      </c>
      <c r="AY144" s="337">
        <f>IFERROR(AY119/AY$120,0)</f>
        <v>0</v>
      </c>
    </row>
    <row r="145" spans="4:51" ht="13.5" thickBot="1">
      <c r="D145" s="116" t="s">
        <v>323</v>
      </c>
      <c r="E145" s="225">
        <f>SUM(E140:E144)</f>
        <v>0.99999999999999989</v>
      </c>
      <c r="F145" s="225">
        <f>SUM(F140:F144)</f>
        <v>0</v>
      </c>
      <c r="G145" s="91"/>
      <c r="H145" s="106"/>
      <c r="I145" s="106"/>
      <c r="J145" s="339">
        <f>SUM(J140:J144)</f>
        <v>1</v>
      </c>
      <c r="K145" s="225">
        <f>SUM(K140:K144)</f>
        <v>1</v>
      </c>
      <c r="L145" s="225">
        <f>SUM(L140:L144)</f>
        <v>0</v>
      </c>
      <c r="M145" s="91"/>
      <c r="N145" s="106"/>
      <c r="O145" s="106"/>
      <c r="P145" s="339">
        <f>SUM(P140:P144)</f>
        <v>1.0000000000000002</v>
      </c>
      <c r="Q145" s="225">
        <f>SUM(Q140:Q144)</f>
        <v>1</v>
      </c>
      <c r="R145" s="225">
        <f>SUM(R140:R144)</f>
        <v>1</v>
      </c>
      <c r="S145" s="225">
        <f>SUM(S140:S144)</f>
        <v>0.99999999999999989</v>
      </c>
      <c r="T145" s="106"/>
      <c r="U145" s="106"/>
      <c r="V145" s="106"/>
      <c r="W145" s="339">
        <f>SUM(W140:W144)</f>
        <v>1</v>
      </c>
      <c r="X145" s="225">
        <f>SUM(X140:X144)</f>
        <v>0</v>
      </c>
      <c r="Y145" s="225">
        <f>SUM(Y140:Y144)</f>
        <v>0</v>
      </c>
      <c r="Z145" s="225">
        <f>SUM(Z140:Z144)</f>
        <v>0</v>
      </c>
      <c r="AA145" s="106"/>
      <c r="AB145" s="106"/>
      <c r="AC145" s="106"/>
      <c r="AD145" s="339">
        <f>SUM(AD140:AD144)</f>
        <v>1</v>
      </c>
      <c r="AE145" s="225">
        <f>SUM(AE140:AE144)</f>
        <v>0</v>
      </c>
      <c r="AF145" s="225">
        <f>SUM(AF140:AF144)</f>
        <v>0</v>
      </c>
      <c r="AG145" s="225">
        <f>SUM(AG140:AG144)</f>
        <v>0</v>
      </c>
      <c r="AH145" s="106"/>
      <c r="AI145" s="106"/>
      <c r="AJ145" s="106"/>
      <c r="AK145" s="339">
        <f>SUM(AK140:AK144)</f>
        <v>1.0000000000000002</v>
      </c>
      <c r="AL145" s="225">
        <f>SUM(AL140:AL144)</f>
        <v>0</v>
      </c>
      <c r="AM145" s="225">
        <f>SUM(AM140:AM144)</f>
        <v>0</v>
      </c>
      <c r="AN145" s="225">
        <f>SUM(AN140:AN144)</f>
        <v>0</v>
      </c>
      <c r="AO145" s="106"/>
      <c r="AP145" s="106"/>
      <c r="AQ145" s="106"/>
      <c r="AR145" s="339">
        <f>SUM(AR140:AR144)</f>
        <v>1</v>
      </c>
      <c r="AS145" s="225">
        <f>SUM(AS140:AS144)</f>
        <v>0</v>
      </c>
      <c r="AT145" s="225"/>
      <c r="AU145" s="225">
        <f>SUM(AU140:AU144)</f>
        <v>0</v>
      </c>
      <c r="AV145" s="225">
        <f>SUM(AV140:AV144)</f>
        <v>0</v>
      </c>
      <c r="AW145" s="106"/>
      <c r="AX145" s="106"/>
      <c r="AY145" s="339">
        <f>SUM(AY140:AY144)</f>
        <v>1</v>
      </c>
    </row>
    <row r="146" spans="4:51" ht="13" thickTop="1"/>
  </sheetData>
  <mergeCells count="74">
    <mergeCell ref="E4:J4"/>
    <mergeCell ref="K4:P4"/>
    <mergeCell ref="Q4:W4"/>
    <mergeCell ref="S7:S10"/>
    <mergeCell ref="S11:S14"/>
    <mergeCell ref="S15:S18"/>
    <mergeCell ref="S35:S38"/>
    <mergeCell ref="S39:S42"/>
    <mergeCell ref="S43:S46"/>
    <mergeCell ref="S47:S50"/>
    <mergeCell ref="S19:S22"/>
    <mergeCell ref="S23:S26"/>
    <mergeCell ref="S31:S34"/>
    <mergeCell ref="BC7:BC10"/>
    <mergeCell ref="BC11:BC14"/>
    <mergeCell ref="BC15:BC18"/>
    <mergeCell ref="BC19:BC22"/>
    <mergeCell ref="BC23:BC26"/>
    <mergeCell ref="S51:S54"/>
    <mergeCell ref="BC27:BC30"/>
    <mergeCell ref="BB7:BB10"/>
    <mergeCell ref="BB11:BB14"/>
    <mergeCell ref="BB15:BB18"/>
    <mergeCell ref="BB19:BB22"/>
    <mergeCell ref="BB23:BB26"/>
    <mergeCell ref="BB27:BB30"/>
    <mergeCell ref="BB31:BB34"/>
    <mergeCell ref="BB35:BB38"/>
    <mergeCell ref="BA7:BA10"/>
    <mergeCell ref="BA11:BA14"/>
    <mergeCell ref="BA15:BA18"/>
    <mergeCell ref="BA19:BA22"/>
    <mergeCell ref="BA23:BA26"/>
    <mergeCell ref="BA27:BA30"/>
    <mergeCell ref="BD27:BD30"/>
    <mergeCell ref="BE39:BE42"/>
    <mergeCell ref="BE43:BE46"/>
    <mergeCell ref="BE47:BE50"/>
    <mergeCell ref="BD31:BD34"/>
    <mergeCell ref="BD7:BD10"/>
    <mergeCell ref="BD11:BD14"/>
    <mergeCell ref="BD15:BD18"/>
    <mergeCell ref="BD19:BD22"/>
    <mergeCell ref="BD23:BD26"/>
    <mergeCell ref="BE7:BE10"/>
    <mergeCell ref="BE11:BE14"/>
    <mergeCell ref="BE15:BE18"/>
    <mergeCell ref="BE31:BE34"/>
    <mergeCell ref="BE35:BE38"/>
    <mergeCell ref="BE19:BE22"/>
    <mergeCell ref="BE23:BE26"/>
    <mergeCell ref="BE27:BE30"/>
    <mergeCell ref="BA43:BA46"/>
    <mergeCell ref="BA47:BA50"/>
    <mergeCell ref="BE51:BE54"/>
    <mergeCell ref="BD43:BD46"/>
    <mergeCell ref="BD47:BD50"/>
    <mergeCell ref="BD51:BD54"/>
    <mergeCell ref="BC47:BC50"/>
    <mergeCell ref="BA51:BA54"/>
    <mergeCell ref="BC51:BC54"/>
    <mergeCell ref="BB43:BB46"/>
    <mergeCell ref="BB47:BB50"/>
    <mergeCell ref="BB51:BB54"/>
    <mergeCell ref="BC43:BC46"/>
    <mergeCell ref="BA31:BA34"/>
    <mergeCell ref="BA35:BA38"/>
    <mergeCell ref="BA39:BA42"/>
    <mergeCell ref="BD35:BD38"/>
    <mergeCell ref="BD39:BD42"/>
    <mergeCell ref="BC31:BC34"/>
    <mergeCell ref="BC35:BC38"/>
    <mergeCell ref="BC39:BC42"/>
    <mergeCell ref="BB39:BB42"/>
  </mergeCells>
  <pageMargins left="0.7" right="0.7" top="0.75" bottom="0.75" header="0.3" footer="0.3"/>
  <customProperties>
    <customPr name="OrphanNamesChecke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D575-27DE-4DEC-BFCB-1C3B68388B68}">
  <dimension ref="A1:I36"/>
  <sheetViews>
    <sheetView topLeftCell="A17" workbookViewId="0">
      <selection activeCell="K24" sqref="K24"/>
    </sheetView>
  </sheetViews>
  <sheetFormatPr defaultRowHeight="14.5"/>
  <cols>
    <col min="1" max="1" width="47.1796875" bestFit="1" customWidth="1"/>
  </cols>
  <sheetData>
    <row r="1" spans="1:9">
      <c r="D1">
        <v>24</v>
      </c>
    </row>
    <row r="2" spans="1:9">
      <c r="A2" s="680" t="s">
        <v>121</v>
      </c>
      <c r="B2" s="867">
        <v>5.6165629999999993</v>
      </c>
      <c r="C2" s="867">
        <v>5.9676169999999988</v>
      </c>
      <c r="D2" s="867">
        <v>9.4949206999999998</v>
      </c>
      <c r="E2" s="867">
        <v>24.234180747923151</v>
      </c>
      <c r="F2" s="867">
        <v>39.680721989079181</v>
      </c>
      <c r="G2" s="867">
        <v>47.552466161375349</v>
      </c>
      <c r="H2" s="867">
        <v>58.580376366639122</v>
      </c>
    </row>
    <row r="3" spans="1:9" s="872" customFormat="1">
      <c r="A3" s="870" t="s">
        <v>122</v>
      </c>
      <c r="B3" s="871">
        <v>1.2270650000000001</v>
      </c>
      <c r="C3" s="871">
        <v>1.9429890000000001</v>
      </c>
      <c r="D3" s="871">
        <v>1.6676449789999999</v>
      </c>
      <c r="E3" s="871">
        <v>8.375</v>
      </c>
      <c r="F3" s="871">
        <v>10.322875</v>
      </c>
      <c r="G3" s="871">
        <v>11.20523</v>
      </c>
      <c r="H3" s="871">
        <v>12.920702374999999</v>
      </c>
      <c r="I3" s="869">
        <f>H3/$H$2</f>
        <v>0.22056366272098923</v>
      </c>
    </row>
    <row r="4" spans="1:9">
      <c r="A4" s="680" t="s">
        <v>123</v>
      </c>
      <c r="B4" s="867">
        <v>0.18659700000000001</v>
      </c>
      <c r="C4" s="867">
        <v>0.31635859999999993</v>
      </c>
      <c r="D4" s="867">
        <v>0.3353256</v>
      </c>
      <c r="E4" s="867">
        <v>0.4</v>
      </c>
      <c r="F4" s="867">
        <v>0.5</v>
      </c>
      <c r="G4" s="867">
        <v>0.7</v>
      </c>
      <c r="H4" s="867">
        <v>1</v>
      </c>
      <c r="I4" s="868">
        <f t="shared" ref="I4:I13" si="0">H4/$H$2</f>
        <v>1.7070562909006659E-2</v>
      </c>
    </row>
    <row r="5" spans="1:9">
      <c r="A5" s="680" t="s">
        <v>124</v>
      </c>
      <c r="B5" s="867">
        <v>0</v>
      </c>
      <c r="C5" s="867">
        <v>1.392E-2</v>
      </c>
      <c r="D5" s="867">
        <v>0.16900415400000002</v>
      </c>
      <c r="E5" s="867">
        <v>0.24910421846645009</v>
      </c>
      <c r="F5" s="867">
        <v>0.35028642468432997</v>
      </c>
      <c r="G5" s="867">
        <v>0.48023086317442049</v>
      </c>
      <c r="H5" s="867">
        <v>0.65887309531331495</v>
      </c>
      <c r="I5" s="868">
        <f t="shared" si="0"/>
        <v>1.1247334622597882E-2</v>
      </c>
    </row>
    <row r="6" spans="1:9" s="872" customFormat="1">
      <c r="A6" s="870" t="s">
        <v>125</v>
      </c>
      <c r="B6" s="871"/>
      <c r="C6" s="871"/>
      <c r="D6" s="871"/>
      <c r="E6" s="871">
        <v>0</v>
      </c>
      <c r="F6" s="871">
        <v>8.1540592000000007</v>
      </c>
      <c r="G6" s="871">
        <v>8.2348433439999997</v>
      </c>
      <c r="H6" s="871">
        <v>8.3212823780799994</v>
      </c>
      <c r="I6" s="869">
        <f t="shared" si="0"/>
        <v>0.14204897431862315</v>
      </c>
    </row>
    <row r="7" spans="1:9">
      <c r="A7" s="680" t="s">
        <v>126</v>
      </c>
      <c r="B7" s="867"/>
      <c r="C7" s="867"/>
      <c r="D7" s="867"/>
      <c r="E7" s="867">
        <v>0.7</v>
      </c>
      <c r="F7" s="867">
        <v>0.75</v>
      </c>
      <c r="G7" s="867">
        <v>0.85</v>
      </c>
      <c r="H7" s="867">
        <v>0.95</v>
      </c>
      <c r="I7" s="868">
        <f t="shared" si="0"/>
        <v>1.6217034763556324E-2</v>
      </c>
    </row>
    <row r="8" spans="1:9" s="872" customFormat="1">
      <c r="A8" s="870" t="s">
        <v>127</v>
      </c>
      <c r="B8" s="871">
        <v>0.40214800000000001</v>
      </c>
      <c r="C8" s="871">
        <v>0.49126520000000001</v>
      </c>
      <c r="D8" s="871">
        <v>0.52962880000000001</v>
      </c>
      <c r="E8" s="871">
        <v>1.55128248</v>
      </c>
      <c r="F8" s="871">
        <v>1.7406122536000002</v>
      </c>
      <c r="G8" s="871">
        <v>1.9717731113520001</v>
      </c>
      <c r="H8" s="871">
        <v>2.0802292291466409</v>
      </c>
      <c r="I8" s="869">
        <f t="shared" si="0"/>
        <v>3.5510683921302161E-2</v>
      </c>
    </row>
    <row r="9" spans="1:9" s="872" customFormat="1">
      <c r="A9" s="870" t="s">
        <v>128</v>
      </c>
      <c r="B9" s="871">
        <v>0.35636200000000001</v>
      </c>
      <c r="C9" s="871">
        <v>0.54634269999999996</v>
      </c>
      <c r="D9" s="871">
        <v>0.94694698900000007</v>
      </c>
      <c r="E9" s="871">
        <v>2.4910421846645008</v>
      </c>
      <c r="F9" s="871">
        <v>3.5028642468432998</v>
      </c>
      <c r="G9" s="871">
        <v>4.8023086317442045</v>
      </c>
      <c r="H9" s="871">
        <v>6.5887309531331493</v>
      </c>
      <c r="I9" s="869">
        <f t="shared" si="0"/>
        <v>0.11247334622597882</v>
      </c>
    </row>
    <row r="10" spans="1:9" s="872" customFormat="1">
      <c r="A10" s="870" t="s">
        <v>129</v>
      </c>
      <c r="B10" s="871">
        <v>2.2054279999999999</v>
      </c>
      <c r="C10" s="871">
        <v>1.6519021</v>
      </c>
      <c r="D10" s="871">
        <v>4.5769116639999998</v>
      </c>
      <c r="E10" s="871">
        <v>8.7186476463257527</v>
      </c>
      <c r="F10" s="871">
        <v>12.26002486395155</v>
      </c>
      <c r="G10" s="871">
        <v>16.808080211104716</v>
      </c>
      <c r="H10" s="871">
        <v>23.060558335966025</v>
      </c>
      <c r="I10" s="869">
        <f>H10/$H$2</f>
        <v>0.39365671179092593</v>
      </c>
    </row>
    <row r="11" spans="1:9">
      <c r="A11" s="680" t="s">
        <v>130</v>
      </c>
      <c r="B11" s="867"/>
      <c r="C11" s="867">
        <v>0.1443178</v>
      </c>
      <c r="D11" s="867">
        <v>0.38729219999999998</v>
      </c>
      <c r="E11" s="867">
        <v>0.5</v>
      </c>
      <c r="F11" s="867">
        <v>0.6</v>
      </c>
      <c r="G11" s="867">
        <v>0.7</v>
      </c>
      <c r="H11" s="867">
        <v>0.8</v>
      </c>
      <c r="I11" s="868">
        <f t="shared" si="0"/>
        <v>1.3656450327205328E-2</v>
      </c>
    </row>
    <row r="12" spans="1:9">
      <c r="A12" s="680" t="s">
        <v>131</v>
      </c>
      <c r="B12" s="867"/>
      <c r="C12" s="867">
        <v>0.1084</v>
      </c>
      <c r="D12" s="867">
        <v>0.2177</v>
      </c>
      <c r="E12" s="867">
        <v>0.24910421846645009</v>
      </c>
      <c r="F12" s="867">
        <v>0.4</v>
      </c>
      <c r="G12" s="867">
        <v>0.6</v>
      </c>
      <c r="H12" s="867">
        <v>0.8</v>
      </c>
      <c r="I12" s="868">
        <f t="shared" si="0"/>
        <v>1.3656450327205328E-2</v>
      </c>
    </row>
    <row r="13" spans="1:9">
      <c r="A13" s="680" t="s">
        <v>132</v>
      </c>
      <c r="B13" s="867">
        <v>1.238963</v>
      </c>
      <c r="C13" s="867">
        <v>0.75212160000000006</v>
      </c>
      <c r="D13" s="867">
        <v>0.66446631399999989</v>
      </c>
      <c r="E13" s="867">
        <v>1</v>
      </c>
      <c r="F13" s="867">
        <v>1.1000000000000001</v>
      </c>
      <c r="G13" s="867">
        <v>1.2</v>
      </c>
      <c r="H13" s="867">
        <v>1.4</v>
      </c>
      <c r="I13" s="868">
        <f t="shared" si="0"/>
        <v>2.3898788072609319E-2</v>
      </c>
    </row>
    <row r="14" spans="1:9">
      <c r="D14" s="675">
        <f>D2-D3-D6-D8-D9-D10</f>
        <v>1.7737882679999997</v>
      </c>
      <c r="E14" s="675">
        <f t="shared" ref="E14:H14" si="1">E2-E3-E6-E8-E9-E10</f>
        <v>3.0982084369328984</v>
      </c>
      <c r="F14" s="675">
        <f t="shared" si="1"/>
        <v>3.7002864246843306</v>
      </c>
      <c r="G14" s="675">
        <f t="shared" si="1"/>
        <v>4.530230863174431</v>
      </c>
      <c r="H14" s="675">
        <f t="shared" si="1"/>
        <v>5.6088730953133101</v>
      </c>
    </row>
    <row r="17" spans="1:8">
      <c r="A17" s="680"/>
      <c r="B17" s="680" t="s">
        <v>122</v>
      </c>
      <c r="C17" s="680" t="s">
        <v>125</v>
      </c>
      <c r="D17" s="680" t="s">
        <v>127</v>
      </c>
      <c r="E17" s="680" t="s">
        <v>128</v>
      </c>
      <c r="F17" s="680" t="s">
        <v>129</v>
      </c>
      <c r="G17" s="680" t="s">
        <v>132</v>
      </c>
      <c r="H17" s="680" t="s">
        <v>133</v>
      </c>
    </row>
    <row r="18" spans="1:8">
      <c r="A18" s="680" t="s">
        <v>134</v>
      </c>
      <c r="B18" s="867">
        <v>1.6676449789999999</v>
      </c>
      <c r="C18" s="867"/>
      <c r="D18" s="867">
        <f>D28+D31</f>
        <v>0.69863295400000003</v>
      </c>
      <c r="E18" s="867">
        <v>0.94694698900000007</v>
      </c>
      <c r="F18" s="867">
        <v>4.5769116639999998</v>
      </c>
      <c r="G18" s="867">
        <f>H18-SUM(B18:F18)</f>
        <v>1.6047841139999992</v>
      </c>
      <c r="H18" s="867">
        <v>9.4949206999999998</v>
      </c>
    </row>
    <row r="19" spans="1:8">
      <c r="A19" s="680" t="s">
        <v>135</v>
      </c>
      <c r="B19" s="867">
        <v>8.375</v>
      </c>
      <c r="C19" s="867">
        <v>0</v>
      </c>
      <c r="D19" s="867">
        <f>E28+E31</f>
        <v>1.5261568160000001</v>
      </c>
      <c r="E19" s="867">
        <v>2.4910421846645008</v>
      </c>
      <c r="F19" s="867">
        <v>8.7186476463257527</v>
      </c>
      <c r="G19" s="867">
        <f t="shared" ref="G19:G22" si="2">H19-SUM(B19:F19)</f>
        <v>2.8594612607283452</v>
      </c>
      <c r="H19" s="867">
        <f>E25</f>
        <v>23.970307907718599</v>
      </c>
    </row>
    <row r="20" spans="1:8">
      <c r="A20" s="680" t="s">
        <v>136</v>
      </c>
      <c r="B20" s="867">
        <v>10.322875</v>
      </c>
      <c r="C20" s="867">
        <v>8.1540592000000007</v>
      </c>
      <c r="D20" s="867">
        <f>F28+F31</f>
        <v>1.6329877931200001</v>
      </c>
      <c r="E20" s="867">
        <v>3.5028642468432998</v>
      </c>
      <c r="F20" s="867">
        <v>12.26002486395155</v>
      </c>
      <c r="G20" s="867">
        <f t="shared" si="2"/>
        <v>3.245466637266837</v>
      </c>
      <c r="H20" s="867">
        <f>F25</f>
        <v>39.118277741181693</v>
      </c>
    </row>
    <row r="21" spans="1:8">
      <c r="A21" s="680" t="s">
        <v>137</v>
      </c>
      <c r="B21" s="867">
        <v>11.20523</v>
      </c>
      <c r="C21" s="867">
        <v>8.2348433439999997</v>
      </c>
      <c r="D21" s="867">
        <f>G28+G31</f>
        <v>1.7472969386383999</v>
      </c>
      <c r="E21" s="867">
        <v>4.8023086317442045</v>
      </c>
      <c r="F21" s="867">
        <v>16.808080211104716</v>
      </c>
      <c r="G21" s="867">
        <f t="shared" si="2"/>
        <v>4.027329786420573</v>
      </c>
      <c r="H21" s="867">
        <f>G25</f>
        <v>46.825088911907891</v>
      </c>
    </row>
    <row r="22" spans="1:8">
      <c r="A22" s="680" t="s">
        <v>138</v>
      </c>
      <c r="B22" s="867">
        <v>12.920702374999999</v>
      </c>
      <c r="C22" s="867">
        <v>8.3212823780799994</v>
      </c>
      <c r="D22" s="867">
        <f>H28+H31</f>
        <v>1.8696077243430886</v>
      </c>
      <c r="E22" s="867">
        <v>6.5887309531331493</v>
      </c>
      <c r="F22" s="867">
        <v>23.060558335966025</v>
      </c>
      <c r="G22" s="867">
        <f t="shared" si="2"/>
        <v>5.3397295254168213</v>
      </c>
      <c r="H22" s="867">
        <f>H25</f>
        <v>58.100611291939082</v>
      </c>
    </row>
    <row r="23" spans="1:8">
      <c r="B23" s="874"/>
      <c r="C23" s="874"/>
      <c r="D23" s="883"/>
      <c r="E23" s="874"/>
      <c r="F23" s="874"/>
      <c r="G23" s="874"/>
      <c r="H23" s="874"/>
    </row>
    <row r="24" spans="1:8">
      <c r="D24" s="882">
        <v>24</v>
      </c>
    </row>
    <row r="25" spans="1:8">
      <c r="A25" s="19" t="s">
        <v>121</v>
      </c>
      <c r="B25" s="10">
        <v>5.6165629999999993</v>
      </c>
      <c r="C25" s="10">
        <v>5.9676169999999988</v>
      </c>
      <c r="D25" s="460">
        <v>9.4949206999999998</v>
      </c>
      <c r="E25" s="58">
        <v>23.970307907718599</v>
      </c>
      <c r="F25" s="58">
        <v>39.118277741181693</v>
      </c>
      <c r="G25" s="58">
        <v>46.825088911907891</v>
      </c>
      <c r="H25" s="58">
        <v>58.100611291939082</v>
      </c>
    </row>
    <row r="26" spans="1:8">
      <c r="A26" s="642" t="s">
        <v>122</v>
      </c>
      <c r="B26" s="643">
        <v>1.2270650000000001</v>
      </c>
      <c r="C26" s="643">
        <v>1.9429890000000001</v>
      </c>
      <c r="D26" s="644">
        <v>1.6676449789999999</v>
      </c>
      <c r="E26" s="830">
        <v>8.375</v>
      </c>
      <c r="F26" s="830">
        <v>10.322875</v>
      </c>
      <c r="G26" s="830">
        <v>11.20523</v>
      </c>
      <c r="H26" s="830">
        <v>12.920702374999999</v>
      </c>
    </row>
    <row r="27" spans="1:8">
      <c r="A27" s="642" t="s">
        <v>123</v>
      </c>
      <c r="B27" s="643">
        <v>0.18659700000000001</v>
      </c>
      <c r="C27" s="643">
        <v>0.31635859999999993</v>
      </c>
      <c r="D27" s="644">
        <v>0.3353256</v>
      </c>
      <c r="E27" s="830">
        <v>0.4</v>
      </c>
      <c r="F27" s="830">
        <v>0.5</v>
      </c>
      <c r="G27" s="830">
        <v>0.7</v>
      </c>
      <c r="H27" s="830">
        <v>1</v>
      </c>
    </row>
    <row r="28" spans="1:8">
      <c r="A28" s="826" t="s">
        <v>139</v>
      </c>
      <c r="B28" s="827">
        <v>0</v>
      </c>
      <c r="C28" s="827">
        <v>1.392E-2</v>
      </c>
      <c r="D28" s="827">
        <v>0.16900415400000002</v>
      </c>
      <c r="E28" s="828">
        <v>0.95945400000000003</v>
      </c>
      <c r="F28" s="828">
        <v>1.02661578</v>
      </c>
      <c r="G28" s="828">
        <v>1.0984788846</v>
      </c>
      <c r="H28" s="828">
        <v>1.1753724065220006</v>
      </c>
    </row>
    <row r="29" spans="1:8">
      <c r="A29" s="19" t="s">
        <v>125</v>
      </c>
      <c r="B29" s="643"/>
      <c r="C29" s="643"/>
      <c r="D29" s="644"/>
      <c r="E29" s="830">
        <v>0</v>
      </c>
      <c r="F29" s="830">
        <v>8.1540592000000007</v>
      </c>
      <c r="G29" s="830">
        <v>8.2348433439999997</v>
      </c>
      <c r="H29" s="830">
        <v>8.3212823780799994</v>
      </c>
    </row>
    <row r="30" spans="1:8">
      <c r="A30" s="642" t="s">
        <v>126</v>
      </c>
      <c r="B30" s="643"/>
      <c r="C30" s="643"/>
      <c r="D30" s="644"/>
      <c r="E30" s="830">
        <v>0.7</v>
      </c>
      <c r="F30" s="830">
        <v>0.75</v>
      </c>
      <c r="G30" s="830">
        <v>0.85</v>
      </c>
      <c r="H30" s="830">
        <v>0.95</v>
      </c>
    </row>
    <row r="31" spans="1:8">
      <c r="A31" s="826" t="s">
        <v>140</v>
      </c>
      <c r="B31" s="827">
        <v>0.40214800000000001</v>
      </c>
      <c r="C31" s="827">
        <v>0.49126520000000001</v>
      </c>
      <c r="D31" s="827">
        <v>0.52962880000000001</v>
      </c>
      <c r="E31" s="829">
        <v>0.56670281600000005</v>
      </c>
      <c r="F31" s="829">
        <v>0.60637201312000011</v>
      </c>
      <c r="G31" s="829">
        <v>0.64881805403839998</v>
      </c>
      <c r="H31" s="829">
        <v>0.69423531782108805</v>
      </c>
    </row>
    <row r="32" spans="1:8">
      <c r="A32" s="255" t="s">
        <v>128</v>
      </c>
      <c r="B32" s="256">
        <v>0.35636200000000001</v>
      </c>
      <c r="C32" s="256">
        <v>0.54634269999999996</v>
      </c>
      <c r="D32" s="462">
        <v>0.94694698900000007</v>
      </c>
      <c r="E32" s="445">
        <v>2.4932937155910007</v>
      </c>
      <c r="F32" s="445">
        <v>3.4796346106803759</v>
      </c>
      <c r="G32" s="445">
        <v>4.7972708065043284</v>
      </c>
      <c r="H32" s="445">
        <v>6.6753375143368894</v>
      </c>
    </row>
    <row r="33" spans="1:8">
      <c r="A33" s="255" t="s">
        <v>129</v>
      </c>
      <c r="B33" s="256">
        <v>2.2054279999999999</v>
      </c>
      <c r="C33" s="256">
        <v>1.6519021</v>
      </c>
      <c r="D33" s="462">
        <v>4.5769116639999998</v>
      </c>
      <c r="E33" s="445">
        <v>8.7265280045685021</v>
      </c>
      <c r="F33" s="445">
        <v>12.178721137381316</v>
      </c>
      <c r="G33" s="445">
        <v>16.790447822765152</v>
      </c>
      <c r="H33" s="445">
        <v>23.363681300179117</v>
      </c>
    </row>
    <row r="34" spans="1:8">
      <c r="A34" s="255" t="s">
        <v>130</v>
      </c>
      <c r="B34" s="256"/>
      <c r="C34" s="256">
        <v>0.1443178</v>
      </c>
      <c r="D34" s="462">
        <v>0.38729219999999998</v>
      </c>
      <c r="E34" s="445">
        <v>0.5</v>
      </c>
      <c r="F34" s="445">
        <v>0.6</v>
      </c>
      <c r="G34" s="445">
        <v>0.7</v>
      </c>
      <c r="H34" s="445">
        <v>0.8</v>
      </c>
    </row>
    <row r="35" spans="1:8">
      <c r="A35" s="255" t="s">
        <v>131</v>
      </c>
      <c r="B35" s="256"/>
      <c r="C35" s="256">
        <v>0.1084</v>
      </c>
      <c r="D35" s="462">
        <v>0.2177</v>
      </c>
      <c r="E35" s="445">
        <v>0.24932937155910007</v>
      </c>
      <c r="F35" s="445">
        <v>0.4</v>
      </c>
      <c r="G35" s="445">
        <v>0.6</v>
      </c>
      <c r="H35" s="445">
        <v>0.8</v>
      </c>
    </row>
    <row r="36" spans="1:8">
      <c r="A36" s="255" t="s">
        <v>132</v>
      </c>
      <c r="B36" s="256">
        <v>1.238963</v>
      </c>
      <c r="C36" s="256">
        <v>0.75212160000000006</v>
      </c>
      <c r="D36" s="462">
        <v>0.66446631399999989</v>
      </c>
      <c r="E36" s="445">
        <v>1</v>
      </c>
      <c r="F36" s="445">
        <v>1.1000000000000001</v>
      </c>
      <c r="G36" s="445">
        <v>1.2</v>
      </c>
      <c r="H36" s="445">
        <v>1.4</v>
      </c>
    </row>
  </sheetData>
  <pageMargins left="0.7" right="0.7" top="0.75" bottom="0.75" header="0.3" footer="0.3"/>
  <customProperties>
    <customPr name="OrphanNamesChecked" r:id="rId1"/>
  </customPropertie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BA2C-3706-40D7-A708-58C88FCB71B2}">
  <dimension ref="A1:H41"/>
  <sheetViews>
    <sheetView showGridLines="0" topLeftCell="A2" zoomScale="83" zoomScaleNormal="120" workbookViewId="0">
      <selection activeCell="H19" sqref="H19"/>
    </sheetView>
  </sheetViews>
  <sheetFormatPr defaultColWidth="9.1796875" defaultRowHeight="12.5"/>
  <cols>
    <col min="1" max="1" width="2.54296875" style="67" customWidth="1"/>
    <col min="2" max="2" width="36.453125" style="67" customWidth="1"/>
    <col min="3" max="3" width="22.7265625" style="67" bestFit="1" customWidth="1"/>
    <col min="4" max="4" width="12" style="67" customWidth="1"/>
    <col min="5" max="6" width="13.453125" style="67" bestFit="1" customWidth="1"/>
    <col min="7" max="7" width="14.453125" style="67" bestFit="1" customWidth="1"/>
    <col min="8" max="8" width="12.81640625" style="67" bestFit="1" customWidth="1"/>
    <col min="9" max="16384" width="9.1796875" style="67"/>
  </cols>
  <sheetData>
    <row r="1" spans="2:7">
      <c r="B1" s="67" t="s">
        <v>38</v>
      </c>
    </row>
    <row r="3" spans="2:7" ht="38.5">
      <c r="B3" s="195" t="s">
        <v>534</v>
      </c>
      <c r="C3" s="196">
        <v>70</v>
      </c>
    </row>
    <row r="4" spans="2:7">
      <c r="B4" s="195" t="s">
        <v>511</v>
      </c>
      <c r="C4" s="196">
        <v>12</v>
      </c>
    </row>
    <row r="5" spans="2:7">
      <c r="B5" s="195" t="s">
        <v>535</v>
      </c>
      <c r="C5" s="199">
        <v>0.5</v>
      </c>
    </row>
    <row r="6" spans="2:7" ht="13">
      <c r="B6" s="195" t="s">
        <v>536</v>
      </c>
      <c r="C6" s="199">
        <v>7.0000000000000007E-2</v>
      </c>
      <c r="D6" s="844"/>
    </row>
    <row r="8" spans="2:7" ht="26">
      <c r="B8" s="379" t="s">
        <v>537</v>
      </c>
      <c r="C8" s="994" t="s">
        <v>538</v>
      </c>
      <c r="D8" s="203"/>
      <c r="E8" s="995" t="s">
        <v>279</v>
      </c>
      <c r="F8" s="995" t="s">
        <v>280</v>
      </c>
      <c r="G8" s="995" t="s">
        <v>281</v>
      </c>
    </row>
    <row r="9" spans="2:7">
      <c r="B9" s="147" t="s">
        <v>539</v>
      </c>
      <c r="C9" s="171">
        <v>2500000</v>
      </c>
      <c r="D9" s="171"/>
      <c r="E9" s="838">
        <v>2500000</v>
      </c>
      <c r="F9" s="494">
        <v>2500000</v>
      </c>
      <c r="G9" s="171">
        <v>2500000</v>
      </c>
    </row>
    <row r="10" spans="2:7">
      <c r="B10" s="147"/>
      <c r="C10" s="147"/>
      <c r="D10" s="147"/>
      <c r="E10" s="147"/>
      <c r="F10" s="147"/>
      <c r="G10" s="147"/>
    </row>
    <row r="11" spans="2:7">
      <c r="B11" s="147" t="s">
        <v>90</v>
      </c>
      <c r="C11" s="171">
        <v>3000</v>
      </c>
      <c r="D11" s="171"/>
      <c r="E11" s="171">
        <v>3000</v>
      </c>
      <c r="F11" s="171">
        <v>3000</v>
      </c>
      <c r="G11" s="171">
        <v>3000</v>
      </c>
    </row>
    <row r="12" spans="2:7">
      <c r="B12" s="147" t="s">
        <v>540</v>
      </c>
      <c r="C12" s="171">
        <f>C11*$C$3</f>
        <v>210000</v>
      </c>
      <c r="D12" s="782"/>
      <c r="E12" s="782">
        <f>C12*(100%+$C$6)</f>
        <v>224700</v>
      </c>
      <c r="F12" s="782">
        <f>E12*(100%+$C$6)</f>
        <v>240429</v>
      </c>
      <c r="G12" s="782">
        <f>F12*(100%+$C$6)</f>
        <v>257259.03000000003</v>
      </c>
    </row>
    <row r="13" spans="2:7">
      <c r="B13" s="174" t="s">
        <v>541</v>
      </c>
      <c r="C13" s="175">
        <f>C12*$C$4</f>
        <v>2520000</v>
      </c>
      <c r="D13" s="175"/>
      <c r="E13" s="175">
        <f>E12*$C$4</f>
        <v>2696400</v>
      </c>
      <c r="F13" s="175">
        <f t="shared" ref="F13:G13" si="0">F12*$C$4</f>
        <v>2885148</v>
      </c>
      <c r="G13" s="175">
        <f t="shared" si="0"/>
        <v>3087108.3600000003</v>
      </c>
    </row>
    <row r="14" spans="2:7">
      <c r="B14" s="836" t="s">
        <v>542</v>
      </c>
      <c r="C14" s="837">
        <v>12</v>
      </c>
      <c r="D14" s="836"/>
      <c r="E14" s="836">
        <v>12</v>
      </c>
      <c r="F14" s="836">
        <v>12</v>
      </c>
      <c r="G14" s="836">
        <v>12</v>
      </c>
    </row>
    <row r="15" spans="2:7">
      <c r="C15" s="839"/>
    </row>
    <row r="16" spans="2:7" ht="13">
      <c r="B16" s="379" t="s">
        <v>543</v>
      </c>
      <c r="C16" s="379" t="s">
        <v>544</v>
      </c>
      <c r="D16" s="203"/>
      <c r="E16" s="995" t="s">
        <v>279</v>
      </c>
      <c r="F16" s="995" t="s">
        <v>280</v>
      </c>
      <c r="G16" s="995" t="s">
        <v>281</v>
      </c>
    </row>
    <row r="17" spans="2:8">
      <c r="B17" s="147" t="s">
        <v>545</v>
      </c>
      <c r="C17" s="147" t="s">
        <v>546</v>
      </c>
      <c r="D17" s="147"/>
      <c r="E17" s="147">
        <v>40</v>
      </c>
      <c r="F17" s="147">
        <v>45</v>
      </c>
      <c r="G17" s="147">
        <v>50</v>
      </c>
    </row>
    <row r="18" spans="2:8">
      <c r="B18" s="147" t="s">
        <v>547</v>
      </c>
      <c r="C18" s="171">
        <v>350000</v>
      </c>
      <c r="D18" s="782"/>
      <c r="E18" s="782">
        <f>C18</f>
        <v>350000</v>
      </c>
      <c r="F18" s="782">
        <f>E18</f>
        <v>350000</v>
      </c>
      <c r="G18" s="782">
        <f>F18</f>
        <v>350000</v>
      </c>
    </row>
    <row r="19" spans="2:8">
      <c r="B19" s="174" t="s">
        <v>548</v>
      </c>
      <c r="C19" s="175"/>
      <c r="D19" s="175"/>
      <c r="E19" s="175">
        <f>E17*E18</f>
        <v>14000000</v>
      </c>
      <c r="F19" s="175">
        <f t="shared" ref="F19:G19" si="1">F17*F18</f>
        <v>15750000</v>
      </c>
      <c r="G19" s="175">
        <f t="shared" si="1"/>
        <v>17500000</v>
      </c>
      <c r="H19" s="520"/>
    </row>
    <row r="20" spans="2:8">
      <c r="B20" s="147"/>
      <c r="C20" s="147"/>
    </row>
    <row r="21" spans="2:8" ht="13.5" thickBot="1">
      <c r="B21" s="172" t="s">
        <v>549</v>
      </c>
      <c r="C21" s="173"/>
      <c r="D21" s="173"/>
      <c r="E21" s="173">
        <f>E19+E13</f>
        <v>16696400</v>
      </c>
      <c r="F21" s="173">
        <f>F19+F13</f>
        <v>18635148</v>
      </c>
      <c r="G21" s="173">
        <f>G19+G13</f>
        <v>20587108.359999999</v>
      </c>
    </row>
    <row r="22" spans="2:8" ht="13" thickTop="1"/>
    <row r="23" spans="2:8" ht="13">
      <c r="B23" s="203"/>
      <c r="C23" s="203"/>
      <c r="D23" s="203"/>
      <c r="E23" s="995" t="s">
        <v>279</v>
      </c>
      <c r="F23" s="995" t="s">
        <v>280</v>
      </c>
      <c r="G23" s="995" t="s">
        <v>281</v>
      </c>
    </row>
    <row r="24" spans="2:8">
      <c r="B24" s="145" t="s">
        <v>550</v>
      </c>
      <c r="C24" s="145">
        <v>0</v>
      </c>
      <c r="D24" s="145"/>
      <c r="E24" s="145">
        <v>4</v>
      </c>
      <c r="F24" s="145">
        <v>4</v>
      </c>
      <c r="G24" s="145">
        <v>4</v>
      </c>
      <c r="H24" s="227"/>
    </row>
    <row r="25" spans="2:8">
      <c r="B25" s="145" t="s">
        <v>551</v>
      </c>
      <c r="C25" s="145"/>
      <c r="D25" s="145"/>
      <c r="E25" s="145">
        <f t="shared" ref="E25:G25" si="2">E24-D24</f>
        <v>4</v>
      </c>
      <c r="F25" s="145">
        <f t="shared" si="2"/>
        <v>0</v>
      </c>
      <c r="G25" s="145">
        <f t="shared" si="2"/>
        <v>0</v>
      </c>
    </row>
    <row r="26" spans="2:8">
      <c r="B26" s="145"/>
      <c r="C26" s="145"/>
      <c r="D26" s="145"/>
      <c r="E26" s="145"/>
      <c r="F26" s="145"/>
      <c r="G26" s="145"/>
    </row>
    <row r="27" spans="2:8" ht="13">
      <c r="B27" s="380" t="s">
        <v>552</v>
      </c>
      <c r="C27" s="381">
        <f>C25*$C$9</f>
        <v>0</v>
      </c>
      <c r="D27" s="381"/>
      <c r="E27" s="381">
        <f>E25*$C$9</f>
        <v>10000000</v>
      </c>
      <c r="F27" s="381">
        <f>F25*$C$9</f>
        <v>0</v>
      </c>
      <c r="G27" s="381">
        <f>G25*$C$9</f>
        <v>0</v>
      </c>
    </row>
    <row r="28" spans="2:8" ht="13">
      <c r="B28" s="380" t="s">
        <v>553</v>
      </c>
      <c r="C28" s="381">
        <f>C24*C21</f>
        <v>0</v>
      </c>
      <c r="D28" s="381"/>
      <c r="E28" s="381">
        <f>E24*E21</f>
        <v>66785600</v>
      </c>
      <c r="F28" s="381">
        <f>F24*F21</f>
        <v>74540592</v>
      </c>
      <c r="G28" s="381">
        <f>G24*G21</f>
        <v>82348433.439999998</v>
      </c>
    </row>
    <row r="30" spans="2:8">
      <c r="B30" s="145"/>
      <c r="C30" s="145"/>
      <c r="D30" s="145"/>
      <c r="E30" s="145">
        <f>E25*E17*$C$5</f>
        <v>80</v>
      </c>
      <c r="F30" s="145">
        <f>F24*(F17-E17)*$C$5</f>
        <v>10</v>
      </c>
      <c r="G30" s="145">
        <f>G24*(G17-F17)*$C$5</f>
        <v>10</v>
      </c>
    </row>
    <row r="31" spans="2:8">
      <c r="B31" s="145" t="s">
        <v>554</v>
      </c>
      <c r="C31" s="168">
        <v>40000</v>
      </c>
      <c r="D31" s="168"/>
      <c r="E31" s="168">
        <f>C31</f>
        <v>40000</v>
      </c>
      <c r="F31" s="168">
        <f t="shared" ref="F31:G31" si="3">E31</f>
        <v>40000</v>
      </c>
      <c r="G31" s="168">
        <f t="shared" si="3"/>
        <v>40000</v>
      </c>
    </row>
    <row r="32" spans="2:8" ht="13">
      <c r="B32" s="200" t="s">
        <v>555</v>
      </c>
      <c r="C32" s="201">
        <f>C30*C31</f>
        <v>0</v>
      </c>
      <c r="D32" s="201"/>
      <c r="E32" s="201">
        <f>E30*E31</f>
        <v>3200000</v>
      </c>
      <c r="F32" s="201">
        <f t="shared" ref="F32:G32" si="4">F30*F31</f>
        <v>400000</v>
      </c>
      <c r="G32" s="201">
        <f t="shared" si="4"/>
        <v>400000</v>
      </c>
    </row>
    <row r="34" spans="1:7" ht="13">
      <c r="B34" s="54" t="s">
        <v>556</v>
      </c>
    </row>
    <row r="35" spans="1:7">
      <c r="B35" s="790" t="s">
        <v>557</v>
      </c>
      <c r="C35" s="791">
        <f t="shared" ref="C35" si="5">C12*C14*C$25</f>
        <v>0</v>
      </c>
      <c r="D35" s="791"/>
      <c r="E35" s="791">
        <f>E12*E14*E$25</f>
        <v>10785600</v>
      </c>
      <c r="F35" s="791">
        <f t="shared" ref="F35:G35" si="6">F12*F14*F$25</f>
        <v>0</v>
      </c>
      <c r="G35" s="791">
        <f t="shared" si="6"/>
        <v>0</v>
      </c>
    </row>
    <row r="38" spans="1:7" ht="13">
      <c r="B38" s="54" t="s">
        <v>498</v>
      </c>
    </row>
    <row r="39" spans="1:7">
      <c r="A39" s="67">
        <v>1</v>
      </c>
      <c r="B39" s="67" t="s">
        <v>558</v>
      </c>
    </row>
    <row r="40" spans="1:7">
      <c r="A40" s="67">
        <v>2</v>
      </c>
      <c r="B40" s="67" t="s">
        <v>559</v>
      </c>
    </row>
    <row r="41" spans="1:7">
      <c r="A41" s="67">
        <v>3</v>
      </c>
      <c r="B41" s="67" t="s">
        <v>560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2803-264F-5840-B68B-D8C6E46AE3E1}">
  <dimension ref="A1:M117"/>
  <sheetViews>
    <sheetView showGridLines="0" topLeftCell="A41" zoomScale="80" zoomScaleNormal="80" workbookViewId="0">
      <selection activeCell="E55" sqref="E55"/>
    </sheetView>
  </sheetViews>
  <sheetFormatPr defaultColWidth="9" defaultRowHeight="12.5"/>
  <cols>
    <col min="1" max="1" width="3" style="222" customWidth="1"/>
    <col min="2" max="2" width="22.453125" style="222" customWidth="1"/>
    <col min="3" max="3" width="15.54296875" style="222" customWidth="1"/>
    <col min="4" max="4" width="14.453125" style="222" customWidth="1"/>
    <col min="5" max="5" width="14" style="222" customWidth="1"/>
    <col min="6" max="6" width="14.54296875" style="222" customWidth="1"/>
    <col min="7" max="7" width="16.453125" style="222" bestFit="1" customWidth="1"/>
    <col min="8" max="8" width="15.453125" style="222" customWidth="1"/>
    <col min="9" max="10" width="9.54296875" style="222" customWidth="1"/>
    <col min="11" max="12" width="12.81640625" style="222" customWidth="1"/>
    <col min="13" max="16384" width="9" style="222"/>
  </cols>
  <sheetData>
    <row r="1" spans="1:12" ht="13">
      <c r="B1" s="222" t="s">
        <v>561</v>
      </c>
      <c r="D1" s="222">
        <f>10^7</f>
        <v>10000000</v>
      </c>
      <c r="L1" s="231" t="s">
        <v>562</v>
      </c>
    </row>
    <row r="3" spans="1:12">
      <c r="A3" s="409" t="s">
        <v>563</v>
      </c>
      <c r="B3" s="409" t="s">
        <v>564</v>
      </c>
      <c r="C3" s="409" t="s">
        <v>565</v>
      </c>
      <c r="D3" s="409" t="s">
        <v>566</v>
      </c>
      <c r="E3" s="409" t="s">
        <v>567</v>
      </c>
    </row>
    <row r="4" spans="1:12" ht="13">
      <c r="A4" s="384">
        <v>1</v>
      </c>
      <c r="B4" s="238" t="s">
        <v>568</v>
      </c>
      <c r="C4" s="427">
        <v>4.7500000000000001E-2</v>
      </c>
      <c r="D4" s="384">
        <v>20</v>
      </c>
      <c r="E4" s="238" t="s">
        <v>569</v>
      </c>
      <c r="F4" s="923"/>
      <c r="G4" s="923"/>
      <c r="H4" s="923"/>
      <c r="I4" s="923"/>
    </row>
    <row r="5" spans="1:12" ht="13">
      <c r="A5" s="384">
        <v>2</v>
      </c>
      <c r="B5" s="238" t="s">
        <v>570</v>
      </c>
      <c r="C5" s="427">
        <v>4.7500000000000001E-2</v>
      </c>
      <c r="D5" s="384">
        <v>20</v>
      </c>
      <c r="E5" s="238" t="s">
        <v>569</v>
      </c>
      <c r="F5" s="923"/>
      <c r="G5" s="923"/>
      <c r="H5" s="923"/>
      <c r="I5" s="923"/>
    </row>
    <row r="6" spans="1:12">
      <c r="A6" s="384">
        <v>3</v>
      </c>
      <c r="B6" s="238" t="s">
        <v>571</v>
      </c>
      <c r="C6" s="427">
        <v>4.7500000000000001E-2</v>
      </c>
      <c r="D6" s="384">
        <v>20</v>
      </c>
      <c r="E6" s="668" t="s">
        <v>572</v>
      </c>
    </row>
    <row r="7" spans="1:12">
      <c r="A7" s="384">
        <v>4</v>
      </c>
      <c r="B7" s="238" t="s">
        <v>573</v>
      </c>
      <c r="C7" s="427">
        <v>0.1583</v>
      </c>
      <c r="D7" s="384">
        <v>6</v>
      </c>
      <c r="E7" s="238" t="s">
        <v>574</v>
      </c>
    </row>
    <row r="8" spans="1:12">
      <c r="A8" s="384">
        <v>5</v>
      </c>
      <c r="B8" s="238" t="s">
        <v>575</v>
      </c>
      <c r="C8" s="410">
        <v>0.1583</v>
      </c>
      <c r="D8" s="384">
        <v>6</v>
      </c>
      <c r="E8" s="238" t="s">
        <v>574</v>
      </c>
    </row>
    <row r="9" spans="1:12">
      <c r="A9" s="384">
        <v>6</v>
      </c>
      <c r="B9" s="238" t="s">
        <v>576</v>
      </c>
      <c r="C9" s="410">
        <v>0.1188</v>
      </c>
      <c r="D9" s="384">
        <v>8</v>
      </c>
      <c r="E9" s="238" t="s">
        <v>569</v>
      </c>
    </row>
    <row r="10" spans="1:12">
      <c r="A10" s="384">
        <v>7</v>
      </c>
      <c r="B10" s="238" t="s">
        <v>577</v>
      </c>
      <c r="C10" s="410">
        <v>0.1188</v>
      </c>
      <c r="D10" s="384">
        <v>8</v>
      </c>
      <c r="E10" s="238" t="s">
        <v>569</v>
      </c>
    </row>
    <row r="11" spans="1:12">
      <c r="A11" s="384">
        <v>8</v>
      </c>
      <c r="B11" s="238" t="s">
        <v>578</v>
      </c>
      <c r="C11" s="427">
        <v>4.7500000000000001E-2</v>
      </c>
      <c r="D11" s="384">
        <v>20</v>
      </c>
      <c r="E11" s="238" t="s">
        <v>569</v>
      </c>
    </row>
    <row r="12" spans="1:12">
      <c r="A12" s="384">
        <v>9</v>
      </c>
      <c r="B12" s="238" t="s">
        <v>579</v>
      </c>
      <c r="C12" s="410">
        <v>9.5000000000000001E-2</v>
      </c>
      <c r="D12" s="384">
        <v>10</v>
      </c>
      <c r="E12" s="238" t="s">
        <v>574</v>
      </c>
    </row>
    <row r="13" spans="1:12">
      <c r="A13" s="384">
        <v>10</v>
      </c>
      <c r="B13" s="238" t="s">
        <v>580</v>
      </c>
      <c r="C13" s="410">
        <v>4.7500000000000001E-2</v>
      </c>
      <c r="D13" s="384">
        <v>20</v>
      </c>
      <c r="E13" s="238" t="s">
        <v>574</v>
      </c>
    </row>
    <row r="14" spans="1:12">
      <c r="A14" s="384">
        <v>11</v>
      </c>
      <c r="B14" s="238" t="s">
        <v>581</v>
      </c>
      <c r="C14" s="410">
        <v>4.7500000000000001E-2</v>
      </c>
      <c r="D14" s="384">
        <v>20</v>
      </c>
      <c r="E14" s="238" t="s">
        <v>569</v>
      </c>
    </row>
    <row r="15" spans="1:12">
      <c r="A15" s="384">
        <v>12</v>
      </c>
      <c r="B15" s="238" t="s">
        <v>343</v>
      </c>
      <c r="C15" s="410">
        <v>6.3299999999999995E-2</v>
      </c>
      <c r="D15" s="384">
        <v>15</v>
      </c>
      <c r="E15" s="924" t="s">
        <v>569</v>
      </c>
    </row>
    <row r="16" spans="1:12" ht="25.5">
      <c r="A16" s="400" t="s">
        <v>582</v>
      </c>
      <c r="B16" s="411" t="s">
        <v>583</v>
      </c>
      <c r="C16" s="412">
        <v>1</v>
      </c>
      <c r="D16" s="413"/>
    </row>
    <row r="17" spans="1:13" ht="25.5">
      <c r="A17" s="400"/>
      <c r="B17" s="411" t="s">
        <v>584</v>
      </c>
      <c r="C17" s="412">
        <v>0.75</v>
      </c>
      <c r="D17" s="413"/>
    </row>
    <row r="18" spans="1:13" ht="13">
      <c r="B18" s="231"/>
    </row>
    <row r="19" spans="1:13" ht="13">
      <c r="B19" s="231"/>
    </row>
    <row r="20" spans="1:13" ht="13">
      <c r="A20" s="230" t="s">
        <v>277</v>
      </c>
      <c r="B20" s="231"/>
    </row>
    <row r="21" spans="1:13" ht="13">
      <c r="B21" s="237" t="s">
        <v>585</v>
      </c>
      <c r="C21" s="237"/>
      <c r="D21" s="232" t="s">
        <v>586</v>
      </c>
      <c r="E21" s="232"/>
      <c r="F21" s="232"/>
      <c r="G21" s="426"/>
      <c r="H21" s="232" t="s">
        <v>587</v>
      </c>
      <c r="I21" s="233"/>
      <c r="J21" s="233"/>
      <c r="K21" s="425"/>
      <c r="L21" s="232" t="s">
        <v>588</v>
      </c>
      <c r="M21" s="234"/>
    </row>
    <row r="22" spans="1:13" ht="39">
      <c r="B22" s="238"/>
      <c r="C22" s="674" t="s">
        <v>589</v>
      </c>
      <c r="D22" s="382" t="s">
        <v>590</v>
      </c>
      <c r="E22" s="382" t="s">
        <v>591</v>
      </c>
      <c r="F22" s="382" t="s">
        <v>592</v>
      </c>
      <c r="G22" s="383" t="s">
        <v>593</v>
      </c>
      <c r="H22" s="382" t="s">
        <v>594</v>
      </c>
      <c r="I22" s="382" t="s">
        <v>595</v>
      </c>
      <c r="J22" s="382" t="s">
        <v>221</v>
      </c>
      <c r="K22" s="383" t="s">
        <v>596</v>
      </c>
      <c r="L22" s="382" t="s">
        <v>593</v>
      </c>
      <c r="M22" s="383" t="s">
        <v>597</v>
      </c>
    </row>
    <row r="23" spans="1:13" ht="13">
      <c r="B23" s="239" t="s">
        <v>598</v>
      </c>
      <c r="C23" s="239"/>
      <c r="D23" s="235"/>
      <c r="E23" s="235"/>
      <c r="F23" s="235"/>
      <c r="G23" s="236"/>
      <c r="H23" s="235"/>
      <c r="I23" s="235"/>
      <c r="J23" s="235"/>
      <c r="K23" s="236"/>
      <c r="L23" s="235"/>
      <c r="M23" s="236"/>
    </row>
    <row r="24" spans="1:13">
      <c r="B24" s="240" t="s">
        <v>568</v>
      </c>
      <c r="C24" s="240" t="str">
        <f>E4</f>
        <v>P&amp;M-15%</v>
      </c>
      <c r="D24" s="222">
        <f>(313729)/(10^7)</f>
        <v>3.1372900000000002E-2</v>
      </c>
      <c r="E24" s="222">
        <f>(192025)/(10^7)</f>
        <v>1.9202500000000001E-2</v>
      </c>
      <c r="F24" s="222">
        <f t="shared" ref="F24:F35" si="0">0/(10^7)</f>
        <v>0</v>
      </c>
      <c r="G24" s="236">
        <f t="shared" ref="G24:G35" si="1">D24+E24-F24</f>
        <v>5.0575400000000006E-2</v>
      </c>
      <c r="H24" s="222">
        <f>32082/(10^7)</f>
        <v>3.2082E-3</v>
      </c>
      <c r="I24" s="222">
        <f>19541/(10^7)</f>
        <v>1.9540999999999998E-3</v>
      </c>
      <c r="J24" s="222">
        <f t="shared" ref="J24:J35" si="2">0/(10^7)</f>
        <v>0</v>
      </c>
      <c r="K24" s="236">
        <f t="shared" ref="K24:K35" si="3">H24+I24-J24</f>
        <v>5.1622999999999999E-3</v>
      </c>
      <c r="L24" s="235">
        <f t="shared" ref="L24:L35" si="4">G24-K24</f>
        <v>4.5413100000000005E-2</v>
      </c>
      <c r="M24" s="236">
        <f t="shared" ref="M24:M35" si="5">D24-H24</f>
        <v>2.8164700000000001E-2</v>
      </c>
    </row>
    <row r="25" spans="1:13">
      <c r="B25" s="240" t="s">
        <v>570</v>
      </c>
      <c r="C25" s="240" t="str">
        <f t="shared" ref="C25:C35" si="6">E5</f>
        <v>P&amp;M-15%</v>
      </c>
      <c r="D25" s="222">
        <f>59915/(10^7)</f>
        <v>5.9915000000000003E-3</v>
      </c>
      <c r="E25" s="222">
        <f>0/(10^7)</f>
        <v>0</v>
      </c>
      <c r="F25" s="222">
        <f t="shared" si="0"/>
        <v>0</v>
      </c>
      <c r="G25" s="236">
        <f t="shared" si="1"/>
        <v>5.9915000000000003E-3</v>
      </c>
      <c r="H25" s="222">
        <f>3999/(10^7)</f>
        <v>3.9990000000000002E-4</v>
      </c>
      <c r="I25" s="222">
        <f>2854/(10^7)</f>
        <v>2.854E-4</v>
      </c>
      <c r="J25" s="222">
        <f t="shared" si="2"/>
        <v>0</v>
      </c>
      <c r="K25" s="236">
        <f t="shared" si="3"/>
        <v>6.8530000000000002E-4</v>
      </c>
      <c r="L25" s="235">
        <f t="shared" si="4"/>
        <v>5.3062000000000005E-3</v>
      </c>
      <c r="M25" s="236">
        <f t="shared" si="5"/>
        <v>5.5916000000000004E-3</v>
      </c>
    </row>
    <row r="26" spans="1:13">
      <c r="B26" s="240" t="s">
        <v>571</v>
      </c>
      <c r="C26" s="240" t="str">
        <f t="shared" si="6"/>
        <v>F&amp;F-10%</v>
      </c>
      <c r="D26" s="222">
        <f>1503052/(10^7)</f>
        <v>0.1503052</v>
      </c>
      <c r="E26" s="222">
        <f>579761/(10^7)</f>
        <v>5.7976100000000003E-2</v>
      </c>
      <c r="F26" s="222">
        <f t="shared" si="0"/>
        <v>0</v>
      </c>
      <c r="G26" s="236">
        <f t="shared" si="1"/>
        <v>0.2082813</v>
      </c>
      <c r="H26" s="222">
        <f>152584/(10^7)</f>
        <v>1.52584E-2</v>
      </c>
      <c r="I26" s="222">
        <f>85473/(10^7)</f>
        <v>8.5473000000000007E-3</v>
      </c>
      <c r="J26" s="222">
        <f t="shared" si="2"/>
        <v>0</v>
      </c>
      <c r="K26" s="236">
        <f t="shared" si="3"/>
        <v>2.3805699999999999E-2</v>
      </c>
      <c r="L26" s="235">
        <f t="shared" si="4"/>
        <v>0.18447560000000002</v>
      </c>
      <c r="M26" s="236">
        <f t="shared" si="5"/>
        <v>0.13504679999999999</v>
      </c>
    </row>
    <row r="27" spans="1:13">
      <c r="B27" s="240" t="s">
        <v>573</v>
      </c>
      <c r="C27" s="240" t="str">
        <f t="shared" si="6"/>
        <v>P&amp;M-40%</v>
      </c>
      <c r="D27" s="222">
        <f>3219499/(10^7)</f>
        <v>0.32194990000000001</v>
      </c>
      <c r="E27" s="222">
        <f>1136322/(10^7)</f>
        <v>0.1136322</v>
      </c>
      <c r="F27" s="222">
        <f t="shared" si="0"/>
        <v>0</v>
      </c>
      <c r="G27" s="236">
        <f t="shared" si="1"/>
        <v>0.43558210000000003</v>
      </c>
      <c r="H27" s="222">
        <f>454618/(10^7)</f>
        <v>4.5461799999999997E-2</v>
      </c>
      <c r="I27" s="222">
        <f>601722/(10^7)</f>
        <v>6.0172200000000002E-2</v>
      </c>
      <c r="J27" s="222">
        <f t="shared" si="2"/>
        <v>0</v>
      </c>
      <c r="K27" s="236">
        <f t="shared" si="3"/>
        <v>0.10563400000000001</v>
      </c>
      <c r="L27" s="235">
        <f t="shared" si="4"/>
        <v>0.32994810000000002</v>
      </c>
      <c r="M27" s="236">
        <f t="shared" si="5"/>
        <v>0.27648810000000001</v>
      </c>
    </row>
    <row r="28" spans="1:13">
      <c r="B28" s="240" t="s">
        <v>575</v>
      </c>
      <c r="C28" s="240" t="str">
        <f t="shared" si="6"/>
        <v>P&amp;M-40%</v>
      </c>
      <c r="D28" s="222">
        <f>(250000)/(10^7)</f>
        <v>2.5000000000000001E-2</v>
      </c>
      <c r="E28" s="222">
        <f>0/(10^7)</f>
        <v>0</v>
      </c>
      <c r="F28" s="222">
        <f t="shared" si="0"/>
        <v>0</v>
      </c>
      <c r="G28" s="236">
        <f t="shared" si="1"/>
        <v>2.5000000000000001E-2</v>
      </c>
      <c r="H28" s="222">
        <f>49766/(10^7)</f>
        <v>4.9766000000000003E-3</v>
      </c>
      <c r="I28" s="222">
        <f>39683/(10^7)</f>
        <v>3.9683000000000001E-3</v>
      </c>
      <c r="J28" s="222">
        <f t="shared" si="2"/>
        <v>0</v>
      </c>
      <c r="K28" s="236">
        <f t="shared" si="3"/>
        <v>8.9449000000000004E-3</v>
      </c>
      <c r="L28" s="235">
        <f t="shared" si="4"/>
        <v>1.6055100000000003E-2</v>
      </c>
      <c r="M28" s="236">
        <f t="shared" si="5"/>
        <v>2.00234E-2</v>
      </c>
    </row>
    <row r="29" spans="1:13">
      <c r="B29" s="240" t="s">
        <v>576</v>
      </c>
      <c r="C29" s="240" t="str">
        <f t="shared" si="6"/>
        <v>P&amp;M-15%</v>
      </c>
      <c r="D29" s="222">
        <f>8353829/(10^7)</f>
        <v>0.83538290000000004</v>
      </c>
      <c r="E29" s="222">
        <f>0/(10^7)</f>
        <v>0</v>
      </c>
      <c r="F29" s="222">
        <f t="shared" si="0"/>
        <v>0</v>
      </c>
      <c r="G29" s="236">
        <f t="shared" si="1"/>
        <v>0.83538290000000004</v>
      </c>
      <c r="H29" s="222">
        <f>746838/(10^7)</f>
        <v>7.4683799999999995E-2</v>
      </c>
      <c r="I29" s="222">
        <f>995154/(10^7)</f>
        <v>9.9515400000000004E-2</v>
      </c>
      <c r="J29" s="222">
        <f t="shared" si="2"/>
        <v>0</v>
      </c>
      <c r="K29" s="236">
        <f t="shared" si="3"/>
        <v>0.1741992</v>
      </c>
      <c r="L29" s="235">
        <f t="shared" si="4"/>
        <v>0.66118370000000004</v>
      </c>
      <c r="M29" s="236">
        <f t="shared" si="5"/>
        <v>0.76069910000000007</v>
      </c>
    </row>
    <row r="30" spans="1:13">
      <c r="B30" s="240" t="s">
        <v>577</v>
      </c>
      <c r="C30" s="240" t="str">
        <f t="shared" si="6"/>
        <v>P&amp;M-15%</v>
      </c>
      <c r="D30" s="222">
        <f>305009/(10^7)</f>
        <v>3.0500900000000001E-2</v>
      </c>
      <c r="E30" s="222">
        <f>140024/(10^7)</f>
        <v>1.40024E-2</v>
      </c>
      <c r="F30" s="222">
        <f t="shared" si="0"/>
        <v>0</v>
      </c>
      <c r="G30" s="236">
        <f t="shared" si="1"/>
        <v>4.4503300000000003E-2</v>
      </c>
      <c r="H30" s="222">
        <f>38320/(10^7)</f>
        <v>3.8319999999999999E-3</v>
      </c>
      <c r="I30" s="222">
        <f>44720/(10^7)</f>
        <v>4.4720000000000003E-3</v>
      </c>
      <c r="J30" s="222">
        <f t="shared" si="2"/>
        <v>0</v>
      </c>
      <c r="K30" s="236">
        <f t="shared" si="3"/>
        <v>8.3040000000000006E-3</v>
      </c>
      <c r="L30" s="235">
        <f t="shared" si="4"/>
        <v>3.6199300000000004E-2</v>
      </c>
      <c r="M30" s="236">
        <f t="shared" si="5"/>
        <v>2.6668900000000002E-2</v>
      </c>
    </row>
    <row r="31" spans="1:13">
      <c r="B31" s="240" t="s">
        <v>578</v>
      </c>
      <c r="C31" s="240" t="str">
        <f t="shared" si="6"/>
        <v>P&amp;M-15%</v>
      </c>
      <c r="D31" s="222">
        <f>393460/(10^7)</f>
        <v>3.9345999999999999E-2</v>
      </c>
      <c r="E31" s="222">
        <f>41101/(10^7)</f>
        <v>4.1101000000000002E-3</v>
      </c>
      <c r="F31" s="222">
        <f t="shared" si="0"/>
        <v>0</v>
      </c>
      <c r="G31" s="236">
        <f t="shared" si="1"/>
        <v>4.3456099999999998E-2</v>
      </c>
      <c r="H31" s="222">
        <f>15337/(10^7)</f>
        <v>1.5337E-3</v>
      </c>
      <c r="I31" s="222">
        <f>19725/(10^7)</f>
        <v>1.9724999999999999E-3</v>
      </c>
      <c r="J31" s="222">
        <f t="shared" si="2"/>
        <v>0</v>
      </c>
      <c r="K31" s="236">
        <f t="shared" si="3"/>
        <v>3.5062000000000001E-3</v>
      </c>
      <c r="L31" s="235">
        <f t="shared" si="4"/>
        <v>3.9949899999999997E-2</v>
      </c>
      <c r="M31" s="236">
        <f t="shared" si="5"/>
        <v>3.78123E-2</v>
      </c>
    </row>
    <row r="32" spans="1:13">
      <c r="B32" s="240" t="s">
        <v>579</v>
      </c>
      <c r="C32" s="240" t="str">
        <f t="shared" si="6"/>
        <v>P&amp;M-40%</v>
      </c>
      <c r="D32" s="222">
        <f>231968/(10^7)</f>
        <v>2.31968E-2</v>
      </c>
      <c r="E32" s="222">
        <f>0/(10^7)</f>
        <v>0</v>
      </c>
      <c r="F32" s="222">
        <f t="shared" si="0"/>
        <v>0</v>
      </c>
      <c r="G32" s="236">
        <f t="shared" si="1"/>
        <v>2.31968E-2</v>
      </c>
      <c r="H32" s="222">
        <f>17848/(10^7)</f>
        <v>1.7848E-3</v>
      </c>
      <c r="I32" s="222">
        <f>22097/(10^7)</f>
        <v>2.2097000000000002E-3</v>
      </c>
      <c r="J32" s="222">
        <f t="shared" si="2"/>
        <v>0</v>
      </c>
      <c r="K32" s="236">
        <f t="shared" si="3"/>
        <v>3.9944999999999998E-3</v>
      </c>
      <c r="L32" s="235">
        <f t="shared" si="4"/>
        <v>1.9202299999999999E-2</v>
      </c>
      <c r="M32" s="236">
        <f t="shared" si="5"/>
        <v>2.1412E-2</v>
      </c>
    </row>
    <row r="33" spans="1:13">
      <c r="B33" s="240" t="s">
        <v>580</v>
      </c>
      <c r="C33" s="240" t="str">
        <f t="shared" si="6"/>
        <v>P&amp;M-40%</v>
      </c>
      <c r="D33" s="222">
        <f>183211/(10^7)</f>
        <v>1.83211E-2</v>
      </c>
      <c r="E33" s="222">
        <f>0/(10^7)</f>
        <v>0</v>
      </c>
      <c r="F33" s="222">
        <f t="shared" si="0"/>
        <v>0</v>
      </c>
      <c r="G33" s="236">
        <f t="shared" si="1"/>
        <v>1.83211E-2</v>
      </c>
      <c r="H33" s="222">
        <f>14701/(10^7)</f>
        <v>1.4701E-3</v>
      </c>
      <c r="I33" s="222">
        <f>8726/(10^7)</f>
        <v>8.7259999999999996E-4</v>
      </c>
      <c r="J33" s="222">
        <f t="shared" si="2"/>
        <v>0</v>
      </c>
      <c r="K33" s="236">
        <f t="shared" si="3"/>
        <v>2.3427000000000001E-3</v>
      </c>
      <c r="L33" s="235">
        <f t="shared" si="4"/>
        <v>1.59784E-2</v>
      </c>
      <c r="M33" s="236">
        <f t="shared" si="5"/>
        <v>1.6851000000000001E-2</v>
      </c>
    </row>
    <row r="34" spans="1:13">
      <c r="B34" s="240" t="s">
        <v>581</v>
      </c>
      <c r="C34" s="240" t="str">
        <f t="shared" si="6"/>
        <v>P&amp;M-15%</v>
      </c>
      <c r="D34" s="222">
        <f>276543/(10^7)</f>
        <v>2.76543E-2</v>
      </c>
      <c r="E34" s="222">
        <f>1285507/(10^7)</f>
        <v>0.12855069999999999</v>
      </c>
      <c r="F34" s="222">
        <f t="shared" si="0"/>
        <v>0</v>
      </c>
      <c r="G34" s="236">
        <f t="shared" si="1"/>
        <v>0.15620499999999998</v>
      </c>
      <c r="H34" s="222">
        <f>30194/(10^7)</f>
        <v>3.0194000000000002E-3</v>
      </c>
      <c r="I34" s="222">
        <f>43954/(10^7)</f>
        <v>4.3953999999999998E-3</v>
      </c>
      <c r="J34" s="222">
        <f t="shared" si="2"/>
        <v>0</v>
      </c>
      <c r="K34" s="236">
        <f t="shared" si="3"/>
        <v>7.4148E-3</v>
      </c>
      <c r="L34" s="235">
        <f t="shared" si="4"/>
        <v>0.14879019999999998</v>
      </c>
      <c r="M34" s="236">
        <f t="shared" si="5"/>
        <v>2.4634900000000001E-2</v>
      </c>
    </row>
    <row r="35" spans="1:13">
      <c r="B35" s="240" t="s">
        <v>343</v>
      </c>
      <c r="C35" s="240" t="str">
        <f t="shared" si="6"/>
        <v>P&amp;M-15%</v>
      </c>
      <c r="D35" s="222">
        <f>2868976/(10^7)</f>
        <v>0.28689759999999997</v>
      </c>
      <c r="E35" s="222">
        <f>1494233/(10^7)</f>
        <v>0.14942330000000001</v>
      </c>
      <c r="F35" s="222">
        <f t="shared" si="0"/>
        <v>0</v>
      </c>
      <c r="G35" s="236">
        <f t="shared" si="1"/>
        <v>0.43632090000000001</v>
      </c>
      <c r="H35" s="222">
        <f>118742/(10^7)</f>
        <v>1.18742E-2</v>
      </c>
      <c r="I35" s="222">
        <f>229785/(10^7)</f>
        <v>2.2978499999999999E-2</v>
      </c>
      <c r="J35" s="222">
        <f t="shared" si="2"/>
        <v>0</v>
      </c>
      <c r="K35" s="236">
        <f t="shared" si="3"/>
        <v>3.48527E-2</v>
      </c>
      <c r="L35" s="235">
        <f t="shared" si="4"/>
        <v>0.4014682</v>
      </c>
      <c r="M35" s="236">
        <f t="shared" si="5"/>
        <v>0.27502339999999997</v>
      </c>
    </row>
    <row r="36" spans="1:13">
      <c r="B36" s="241"/>
      <c r="C36" s="240"/>
      <c r="D36" s="235"/>
      <c r="E36" s="235"/>
      <c r="F36" s="235"/>
      <c r="G36" s="236"/>
      <c r="H36" s="242"/>
      <c r="I36" s="242"/>
      <c r="J36" s="242"/>
      <c r="K36" s="424"/>
      <c r="L36" s="235"/>
      <c r="M36" s="236"/>
    </row>
    <row r="37" spans="1:13" ht="13.5" thickBot="1">
      <c r="B37" s="243" t="s">
        <v>133</v>
      </c>
      <c r="C37" s="673"/>
      <c r="D37" s="244">
        <f t="shared" ref="D37:M37" si="7">SUM(D24:D35)</f>
        <v>1.7959191000000003</v>
      </c>
      <c r="E37" s="244">
        <f t="shared" si="7"/>
        <v>0.48689729999999998</v>
      </c>
      <c r="F37" s="244">
        <f t="shared" si="7"/>
        <v>0</v>
      </c>
      <c r="G37" s="245">
        <f t="shared" si="7"/>
        <v>2.2828164000000002</v>
      </c>
      <c r="H37" s="246">
        <f t="shared" si="7"/>
        <v>0.16750290000000001</v>
      </c>
      <c r="I37" s="246">
        <f t="shared" si="7"/>
        <v>0.21134340000000001</v>
      </c>
      <c r="J37" s="246">
        <f t="shared" si="7"/>
        <v>0</v>
      </c>
      <c r="K37" s="246">
        <f t="shared" si="7"/>
        <v>0.37884630000000002</v>
      </c>
      <c r="L37" s="243">
        <f t="shared" si="7"/>
        <v>1.9039701</v>
      </c>
      <c r="M37" s="245">
        <f t="shared" si="7"/>
        <v>1.6284162</v>
      </c>
    </row>
    <row r="38" spans="1:13" ht="13" thickTop="1">
      <c r="D38" s="222">
        <f>(7573262)/(10^7)</f>
        <v>0.75732619999999995</v>
      </c>
      <c r="E38" s="222">
        <f>10385929.22/(10^7)</f>
        <v>1.0385929220000001</v>
      </c>
      <c r="F38" s="222">
        <f>0/(10^7)</f>
        <v>0</v>
      </c>
      <c r="G38" s="222">
        <f>D38+E38-F38</f>
        <v>1.7959191219999999</v>
      </c>
      <c r="H38" s="222">
        <f>632453/(10^7)</f>
        <v>6.3245300000000004E-2</v>
      </c>
      <c r="I38" s="222">
        <f>1042576/(10^7)</f>
        <v>0.10425760000000001</v>
      </c>
      <c r="J38" s="222">
        <f>0/(10^7)</f>
        <v>0</v>
      </c>
      <c r="K38" s="222">
        <f>H38+I38-J38</f>
        <v>0.16750290000000001</v>
      </c>
      <c r="L38" s="222">
        <f>G38-K38</f>
        <v>1.6284162219999998</v>
      </c>
      <c r="M38" s="222">
        <f>D38-H38</f>
        <v>0.69408089999999989</v>
      </c>
    </row>
    <row r="40" spans="1:13" ht="13">
      <c r="A40" s="405"/>
      <c r="B40" s="406" t="s">
        <v>278</v>
      </c>
      <c r="C40" s="406"/>
      <c r="D40" s="405"/>
      <c r="E40" s="405"/>
      <c r="F40" s="405"/>
      <c r="G40" s="405"/>
      <c r="H40" s="400"/>
    </row>
    <row r="41" spans="1:13" ht="13">
      <c r="A41" s="384"/>
      <c r="B41" s="384"/>
      <c r="C41" s="384" t="s">
        <v>589</v>
      </c>
      <c r="D41" s="385" t="s">
        <v>599</v>
      </c>
      <c r="E41" s="385" t="s">
        <v>591</v>
      </c>
      <c r="F41" s="385" t="s">
        <v>600</v>
      </c>
      <c r="G41" s="385" t="s">
        <v>601</v>
      </c>
      <c r="H41" s="385" t="s">
        <v>602</v>
      </c>
    </row>
    <row r="42" spans="1:13" ht="25">
      <c r="A42" s="384"/>
      <c r="B42" s="384"/>
      <c r="C42" s="384"/>
      <c r="D42" s="386" t="s">
        <v>603</v>
      </c>
      <c r="E42" s="387" t="s">
        <v>604</v>
      </c>
      <c r="F42" s="386" t="s">
        <v>605</v>
      </c>
      <c r="G42" s="388" t="s">
        <v>606</v>
      </c>
      <c r="H42" s="386" t="s">
        <v>607</v>
      </c>
    </row>
    <row r="43" spans="1:13" ht="13">
      <c r="A43" s="389"/>
      <c r="B43" s="390" t="s">
        <v>608</v>
      </c>
      <c r="C43" s="390"/>
      <c r="D43" s="391"/>
      <c r="E43" s="420"/>
      <c r="F43" s="392"/>
      <c r="G43" s="392"/>
      <c r="H43" s="393"/>
    </row>
    <row r="44" spans="1:13" ht="13">
      <c r="A44" s="394">
        <v>1</v>
      </c>
      <c r="B44" s="240" t="s">
        <v>568</v>
      </c>
      <c r="C44" s="240" t="str">
        <f>E4</f>
        <v>P&amp;M-15%</v>
      </c>
      <c r="D44" s="402">
        <f t="shared" ref="D44:D55" si="8">L24</f>
        <v>4.5413100000000005E-2</v>
      </c>
      <c r="E44" s="422"/>
      <c r="F44" s="397"/>
      <c r="G44" s="417">
        <f>(D44*$C4*$C$16)+(E44*$C4*$C$17)</f>
        <v>2.1571222500000003E-3</v>
      </c>
      <c r="H44" s="423">
        <f>D44+E44-F44-G44</f>
        <v>4.3255977750000008E-2</v>
      </c>
      <c r="I44" s="923"/>
      <c r="J44" s="878"/>
      <c r="K44" s="878"/>
      <c r="L44" s="878"/>
    </row>
    <row r="45" spans="1:13">
      <c r="A45" s="394">
        <v>2</v>
      </c>
      <c r="B45" s="240" t="s">
        <v>570</v>
      </c>
      <c r="C45" s="240" t="str">
        <f t="shared" ref="C45:C55" si="9">E5</f>
        <v>P&amp;M-15%</v>
      </c>
      <c r="D45" s="402">
        <f t="shared" si="8"/>
        <v>5.3062000000000005E-3</v>
      </c>
      <c r="E45" s="422"/>
      <c r="F45" s="397"/>
      <c r="G45" s="417">
        <f>(D45*$C5*$C$16)+(E45*$C5*$C$17)</f>
        <v>2.5204450000000005E-4</v>
      </c>
      <c r="H45" s="423">
        <f>D45+E45-F45-G45</f>
        <v>5.0541555000000009E-3</v>
      </c>
    </row>
    <row r="46" spans="1:13">
      <c r="A46" s="394">
        <v>3</v>
      </c>
      <c r="B46" s="240" t="s">
        <v>571</v>
      </c>
      <c r="C46" s="240" t="str">
        <f t="shared" si="9"/>
        <v>F&amp;F-10%</v>
      </c>
      <c r="D46" s="402">
        <f t="shared" si="8"/>
        <v>0.18447560000000002</v>
      </c>
      <c r="E46" s="422">
        <f>'Regional Office Cost'!D27/10^7+'Manufacturing Setup '!C33</f>
        <v>6</v>
      </c>
      <c r="F46" s="397"/>
      <c r="G46" s="417">
        <f>(D46*$C6*$C$16)+(E46*$C6*$C$17)</f>
        <v>0.22251259100000004</v>
      </c>
      <c r="H46" s="423">
        <f>D46+E46-F46-G46</f>
        <v>5.9619630089999998</v>
      </c>
    </row>
    <row r="47" spans="1:13">
      <c r="A47" s="394">
        <v>4</v>
      </c>
      <c r="B47" s="240" t="s">
        <v>573</v>
      </c>
      <c r="C47" s="240" t="str">
        <f t="shared" si="9"/>
        <v>P&amp;M-40%</v>
      </c>
      <c r="D47" s="402">
        <f t="shared" si="8"/>
        <v>0.32994810000000002</v>
      </c>
      <c r="E47" s="240">
        <f>(200000+'Regional Office Cost'!D32)/(10^7)</f>
        <v>0.02</v>
      </c>
      <c r="F47" s="397"/>
      <c r="G47" s="417">
        <f t="shared" ref="G47:G54" si="10">(D47*$C7*$C$16)+(E47*$C7*$C$17)</f>
        <v>5.4605284230000002E-2</v>
      </c>
      <c r="H47" s="423">
        <f t="shared" ref="H47:H55" si="11">D47+E47-F47-G47</f>
        <v>0.29534281577000004</v>
      </c>
    </row>
    <row r="48" spans="1:13">
      <c r="A48" s="394">
        <v>5</v>
      </c>
      <c r="B48" s="240" t="s">
        <v>575</v>
      </c>
      <c r="C48" s="240" t="str">
        <f t="shared" si="9"/>
        <v>P&amp;M-40%</v>
      </c>
      <c r="D48" s="402">
        <f t="shared" si="8"/>
        <v>1.6055100000000003E-2</v>
      </c>
      <c r="E48" s="240"/>
      <c r="F48" s="397"/>
      <c r="G48" s="417">
        <f t="shared" si="10"/>
        <v>2.5415223300000005E-3</v>
      </c>
      <c r="H48" s="423">
        <f t="shared" si="11"/>
        <v>1.3513577670000002E-2</v>
      </c>
    </row>
    <row r="49" spans="1:9">
      <c r="A49" s="394">
        <v>6</v>
      </c>
      <c r="B49" s="240" t="s">
        <v>576</v>
      </c>
      <c r="C49" s="240" t="str">
        <f t="shared" si="9"/>
        <v>P&amp;M-15%</v>
      </c>
      <c r="D49" s="402">
        <f t="shared" si="8"/>
        <v>0.66118370000000004</v>
      </c>
      <c r="E49" s="240">
        <f>1500000/(10^7)</f>
        <v>0.15</v>
      </c>
      <c r="F49" s="397"/>
      <c r="G49" s="417">
        <f t="shared" si="10"/>
        <v>9.1913623560000005E-2</v>
      </c>
      <c r="H49" s="423">
        <f t="shared" si="11"/>
        <v>0.71927007644000007</v>
      </c>
    </row>
    <row r="50" spans="1:9">
      <c r="A50" s="394">
        <v>7</v>
      </c>
      <c r="B50" s="240" t="s">
        <v>577</v>
      </c>
      <c r="C50" s="240" t="str">
        <f t="shared" si="9"/>
        <v>P&amp;M-15%</v>
      </c>
      <c r="D50" s="402">
        <f t="shared" si="8"/>
        <v>3.6199300000000004E-2</v>
      </c>
      <c r="E50" s="422"/>
      <c r="F50" s="397"/>
      <c r="G50" s="417">
        <f t="shared" si="10"/>
        <v>4.3004768400000002E-3</v>
      </c>
      <c r="H50" s="423">
        <f t="shared" si="11"/>
        <v>3.1898823160000006E-2</v>
      </c>
    </row>
    <row r="51" spans="1:9">
      <c r="A51" s="394">
        <v>8</v>
      </c>
      <c r="B51" s="240" t="s">
        <v>578</v>
      </c>
      <c r="C51" s="240" t="str">
        <f t="shared" si="9"/>
        <v>P&amp;M-15%</v>
      </c>
      <c r="D51" s="402">
        <f t="shared" si="8"/>
        <v>3.9949899999999997E-2</v>
      </c>
      <c r="E51" s="240">
        <f>100000/(10^7)</f>
        <v>0.01</v>
      </c>
      <c r="F51" s="397"/>
      <c r="G51" s="417">
        <f t="shared" si="10"/>
        <v>2.2538702499999997E-3</v>
      </c>
      <c r="H51" s="423">
        <f t="shared" si="11"/>
        <v>4.7696029750000001E-2</v>
      </c>
    </row>
    <row r="52" spans="1:9">
      <c r="A52" s="394">
        <v>9</v>
      </c>
      <c r="B52" s="240" t="s">
        <v>579</v>
      </c>
      <c r="C52" s="240" t="str">
        <f t="shared" si="9"/>
        <v>P&amp;M-40%</v>
      </c>
      <c r="D52" s="402">
        <f t="shared" si="8"/>
        <v>1.9202299999999999E-2</v>
      </c>
      <c r="E52" s="422"/>
      <c r="F52" s="397"/>
      <c r="G52" s="417">
        <f t="shared" si="10"/>
        <v>1.8242184999999998E-3</v>
      </c>
      <c r="H52" s="423">
        <f t="shared" si="11"/>
        <v>1.73780815E-2</v>
      </c>
    </row>
    <row r="53" spans="1:9">
      <c r="A53" s="394">
        <v>10</v>
      </c>
      <c r="B53" s="240" t="s">
        <v>580</v>
      </c>
      <c r="C53" s="240" t="str">
        <f t="shared" si="9"/>
        <v>P&amp;M-40%</v>
      </c>
      <c r="D53" s="402">
        <f t="shared" si="8"/>
        <v>1.59784E-2</v>
      </c>
      <c r="E53" s="422"/>
      <c r="F53" s="397"/>
      <c r="G53" s="417">
        <f t="shared" si="10"/>
        <v>7.5897400000000004E-4</v>
      </c>
      <c r="H53" s="423">
        <f t="shared" si="11"/>
        <v>1.5219425999999999E-2</v>
      </c>
    </row>
    <row r="54" spans="1:9">
      <c r="A54" s="394">
        <v>11</v>
      </c>
      <c r="B54" s="240" t="s">
        <v>581</v>
      </c>
      <c r="C54" s="240" t="str">
        <f t="shared" si="9"/>
        <v>P&amp;M-15%</v>
      </c>
      <c r="D54" s="402">
        <f t="shared" si="8"/>
        <v>0.14879019999999998</v>
      </c>
      <c r="E54" s="240">
        <f>200000/(10^7)</f>
        <v>0.02</v>
      </c>
      <c r="F54" s="397"/>
      <c r="G54" s="417">
        <f t="shared" si="10"/>
        <v>7.7800344999999996E-3</v>
      </c>
      <c r="H54" s="423">
        <f t="shared" si="11"/>
        <v>0.16101016549999997</v>
      </c>
    </row>
    <row r="55" spans="1:9" ht="37.5">
      <c r="A55" s="394">
        <v>12</v>
      </c>
      <c r="B55" s="993" t="s">
        <v>609</v>
      </c>
      <c r="C55" s="240" t="str">
        <f t="shared" si="9"/>
        <v>P&amp;M-15%</v>
      </c>
      <c r="D55" s="402">
        <f t="shared" si="8"/>
        <v>0.4014682</v>
      </c>
      <c r="E55" s="240">
        <f>1+'Manufacturing Setup '!C32+5</f>
        <v>36</v>
      </c>
      <c r="F55" s="397"/>
      <c r="G55" s="417">
        <f>(D55*$C15*$C$16)+(E55*$C15*$C$17)</f>
        <v>1.7345129370599999</v>
      </c>
      <c r="H55" s="423">
        <f t="shared" si="11"/>
        <v>34.666955262939993</v>
      </c>
      <c r="I55" s="222" t="s">
        <v>610</v>
      </c>
    </row>
    <row r="56" spans="1:9">
      <c r="A56" s="394"/>
      <c r="B56" s="395"/>
      <c r="C56" s="395"/>
      <c r="D56" s="396"/>
      <c r="E56" s="422"/>
      <c r="F56" s="397"/>
      <c r="G56" s="397"/>
      <c r="H56" s="398"/>
    </row>
    <row r="57" spans="1:9" ht="13.5" thickBot="1">
      <c r="A57" s="404"/>
      <c r="B57" s="399" t="s">
        <v>611</v>
      </c>
      <c r="C57" s="399"/>
      <c r="D57" s="403">
        <f>SUM(D44:D56)</f>
        <v>1.9039701</v>
      </c>
      <c r="E57" s="403">
        <f>SUM(E44:E56)</f>
        <v>42.2</v>
      </c>
      <c r="F57" s="421">
        <f>SUM(F44:F56)</f>
        <v>0</v>
      </c>
      <c r="G57" s="403">
        <f>SUM(G44:G56)</f>
        <v>2.12541269902</v>
      </c>
      <c r="H57" s="403">
        <f>SUM(H44:H56)</f>
        <v>41.978557400979994</v>
      </c>
    </row>
    <row r="60" spans="1:9" ht="13">
      <c r="A60" s="405"/>
      <c r="B60" s="406" t="s">
        <v>279</v>
      </c>
      <c r="C60" s="406"/>
      <c r="D60" s="406"/>
      <c r="E60" s="405"/>
      <c r="F60" s="405"/>
      <c r="G60" s="405"/>
      <c r="H60" s="405"/>
    </row>
    <row r="61" spans="1:9" ht="13">
      <c r="A61" s="384"/>
      <c r="B61" s="384"/>
      <c r="C61" s="384"/>
      <c r="D61" s="385" t="s">
        <v>599</v>
      </c>
      <c r="E61" s="385" t="s">
        <v>591</v>
      </c>
      <c r="F61" s="385" t="s">
        <v>600</v>
      </c>
      <c r="G61" s="385" t="s">
        <v>601</v>
      </c>
      <c r="H61" s="385" t="s">
        <v>602</v>
      </c>
    </row>
    <row r="62" spans="1:9" ht="25">
      <c r="A62" s="384"/>
      <c r="B62" s="384"/>
      <c r="C62" s="384"/>
      <c r="D62" s="386" t="s">
        <v>612</v>
      </c>
      <c r="E62" s="387" t="s">
        <v>604</v>
      </c>
      <c r="F62" s="386" t="s">
        <v>605</v>
      </c>
      <c r="G62" s="388" t="s">
        <v>606</v>
      </c>
      <c r="H62" s="386" t="s">
        <v>613</v>
      </c>
    </row>
    <row r="63" spans="1:9" ht="13">
      <c r="A63" s="389"/>
      <c r="B63" s="390" t="s">
        <v>608</v>
      </c>
      <c r="C63" s="390"/>
      <c r="D63" s="391"/>
      <c r="E63" s="420"/>
      <c r="F63" s="392"/>
      <c r="G63" s="392"/>
      <c r="H63" s="393"/>
    </row>
    <row r="64" spans="1:9" s="878" customFormat="1" ht="13">
      <c r="A64" s="394">
        <v>1</v>
      </c>
      <c r="B64" s="240" t="s">
        <v>568</v>
      </c>
      <c r="C64" s="240" t="str">
        <f>E4</f>
        <v>P&amp;M-15%</v>
      </c>
      <c r="D64" s="402">
        <f t="shared" ref="D64:D75" si="12">H44</f>
        <v>4.3255977750000008E-2</v>
      </c>
      <c r="E64" s="240">
        <f>500000/(10^7)</f>
        <v>0.05</v>
      </c>
      <c r="F64" s="417"/>
      <c r="G64" s="417">
        <f t="shared" ref="G64:G75" si="13">(D64*$C4*$C$16)+(E64*$C4*$C$17)</f>
        <v>3.8359089431250007E-3</v>
      </c>
      <c r="H64" s="416">
        <f t="shared" ref="H64:H75" si="14">D64+E64-F64-G64</f>
        <v>8.9420068806875003E-2</v>
      </c>
      <c r="I64" s="923"/>
    </row>
    <row r="65" spans="1:8">
      <c r="A65" s="394">
        <v>2</v>
      </c>
      <c r="B65" s="240" t="s">
        <v>570</v>
      </c>
      <c r="C65" s="240" t="str">
        <f t="shared" ref="C65:C75" si="15">E5</f>
        <v>P&amp;M-15%</v>
      </c>
      <c r="D65" s="402">
        <f t="shared" si="12"/>
        <v>5.0541555000000009E-3</v>
      </c>
      <c r="E65" s="419"/>
      <c r="F65" s="417"/>
      <c r="G65" s="417">
        <f t="shared" si="13"/>
        <v>2.4007238625000006E-4</v>
      </c>
      <c r="H65" s="416">
        <f t="shared" si="14"/>
        <v>4.814083113750001E-3</v>
      </c>
    </row>
    <row r="66" spans="1:8">
      <c r="A66" s="394">
        <v>3</v>
      </c>
      <c r="B66" s="240" t="s">
        <v>571</v>
      </c>
      <c r="C66" s="240" t="str">
        <f t="shared" si="15"/>
        <v>F&amp;F-10%</v>
      </c>
      <c r="D66" s="402">
        <f t="shared" si="12"/>
        <v>5.9619630089999998</v>
      </c>
      <c r="E66" s="240">
        <f>(200000+'Regional Office Cost'!E27)/(10^7)+'Manufacturing Setup '!D33</f>
        <v>1.32</v>
      </c>
      <c r="F66" s="417"/>
      <c r="G66" s="417">
        <f t="shared" si="13"/>
        <v>0.33021824292749996</v>
      </c>
      <c r="H66" s="416">
        <f t="shared" si="14"/>
        <v>6.9517447660725002</v>
      </c>
    </row>
    <row r="67" spans="1:8">
      <c r="A67" s="394">
        <v>4</v>
      </c>
      <c r="B67" s="240" t="s">
        <v>573</v>
      </c>
      <c r="C67" s="240" t="str">
        <f t="shared" si="15"/>
        <v>P&amp;M-40%</v>
      </c>
      <c r="D67" s="402">
        <f t="shared" si="12"/>
        <v>0.29534281577000004</v>
      </c>
      <c r="E67" s="240">
        <f>(200000+'Regional Office Cost'!E32)/(10^7)</f>
        <v>0.34</v>
      </c>
      <c r="F67" s="417"/>
      <c r="G67" s="417">
        <f t="shared" si="13"/>
        <v>8.7119267736391004E-2</v>
      </c>
      <c r="H67" s="416">
        <f t="shared" si="14"/>
        <v>0.54822354803360906</v>
      </c>
    </row>
    <row r="68" spans="1:8">
      <c r="A68" s="394">
        <v>5</v>
      </c>
      <c r="B68" s="240" t="s">
        <v>575</v>
      </c>
      <c r="C68" s="240" t="str">
        <f t="shared" si="15"/>
        <v>P&amp;M-40%</v>
      </c>
      <c r="D68" s="402">
        <f t="shared" si="12"/>
        <v>1.3513577670000002E-2</v>
      </c>
      <c r="E68" s="240">
        <f>500000/(10^7)</f>
        <v>0.05</v>
      </c>
      <c r="F68" s="417"/>
      <c r="G68" s="417">
        <f t="shared" si="13"/>
        <v>8.0754493451610006E-3</v>
      </c>
      <c r="H68" s="416">
        <f t="shared" si="14"/>
        <v>5.5438128324838999E-2</v>
      </c>
    </row>
    <row r="69" spans="1:8">
      <c r="A69" s="394">
        <v>6</v>
      </c>
      <c r="B69" s="240" t="s">
        <v>576</v>
      </c>
      <c r="C69" s="240" t="str">
        <f t="shared" si="15"/>
        <v>P&amp;M-15%</v>
      </c>
      <c r="D69" s="402">
        <f t="shared" si="12"/>
        <v>0.71927007644000007</v>
      </c>
      <c r="E69" s="240">
        <f>1500000/(10^7)</f>
        <v>0.15</v>
      </c>
      <c r="F69" s="417"/>
      <c r="G69" s="417">
        <f t="shared" si="13"/>
        <v>9.8814285081072012E-2</v>
      </c>
      <c r="H69" s="416">
        <f t="shared" si="14"/>
        <v>0.77045579135892805</v>
      </c>
    </row>
    <row r="70" spans="1:8">
      <c r="A70" s="394">
        <v>7</v>
      </c>
      <c r="B70" s="240" t="s">
        <v>577</v>
      </c>
      <c r="C70" s="240" t="str">
        <f t="shared" si="15"/>
        <v>P&amp;M-15%</v>
      </c>
      <c r="D70" s="402">
        <f t="shared" si="12"/>
        <v>3.1898823160000006E-2</v>
      </c>
      <c r="E70" s="419"/>
      <c r="F70" s="417"/>
      <c r="G70" s="417">
        <f t="shared" si="13"/>
        <v>3.7895801914080009E-3</v>
      </c>
      <c r="H70" s="416">
        <f t="shared" si="14"/>
        <v>2.8109242968592005E-2</v>
      </c>
    </row>
    <row r="71" spans="1:8">
      <c r="A71" s="394">
        <v>8</v>
      </c>
      <c r="B71" s="240" t="s">
        <v>578</v>
      </c>
      <c r="C71" s="240" t="str">
        <f t="shared" si="15"/>
        <v>P&amp;M-15%</v>
      </c>
      <c r="D71" s="402">
        <f t="shared" si="12"/>
        <v>4.7696029750000001E-2</v>
      </c>
      <c r="E71" s="240">
        <f>100000/(10^7)</f>
        <v>0.01</v>
      </c>
      <c r="F71" s="417"/>
      <c r="G71" s="417">
        <f t="shared" si="13"/>
        <v>2.6218114131250003E-3</v>
      </c>
      <c r="H71" s="416">
        <f t="shared" si="14"/>
        <v>5.5074218336875001E-2</v>
      </c>
    </row>
    <row r="72" spans="1:8">
      <c r="A72" s="394">
        <v>9</v>
      </c>
      <c r="B72" s="240" t="s">
        <v>579</v>
      </c>
      <c r="C72" s="240" t="str">
        <f t="shared" si="15"/>
        <v>P&amp;M-40%</v>
      </c>
      <c r="D72" s="402">
        <f t="shared" si="12"/>
        <v>1.73780815E-2</v>
      </c>
      <c r="E72" s="240">
        <f>300000/(10^7)</f>
        <v>0.03</v>
      </c>
      <c r="F72" s="417"/>
      <c r="G72" s="417">
        <f t="shared" si="13"/>
        <v>3.7884177425000004E-3</v>
      </c>
      <c r="H72" s="416">
        <f t="shared" si="14"/>
        <v>4.3589663757500001E-2</v>
      </c>
    </row>
    <row r="73" spans="1:8">
      <c r="A73" s="394">
        <v>10</v>
      </c>
      <c r="B73" s="240" t="s">
        <v>580</v>
      </c>
      <c r="C73" s="240" t="str">
        <f t="shared" si="15"/>
        <v>P&amp;M-40%</v>
      </c>
      <c r="D73" s="402">
        <f t="shared" si="12"/>
        <v>1.5219425999999999E-2</v>
      </c>
      <c r="E73" s="419"/>
      <c r="F73" s="417"/>
      <c r="G73" s="417">
        <f t="shared" si="13"/>
        <v>7.2292273499999996E-4</v>
      </c>
      <c r="H73" s="416">
        <f t="shared" si="14"/>
        <v>1.4496503265E-2</v>
      </c>
    </row>
    <row r="74" spans="1:8">
      <c r="A74" s="394">
        <v>11</v>
      </c>
      <c r="B74" s="240" t="s">
        <v>581</v>
      </c>
      <c r="C74" s="240" t="str">
        <f t="shared" si="15"/>
        <v>P&amp;M-15%</v>
      </c>
      <c r="D74" s="402">
        <f t="shared" si="12"/>
        <v>0.16101016549999997</v>
      </c>
      <c r="E74" s="240">
        <f>200000/(10^7)</f>
        <v>0.02</v>
      </c>
      <c r="F74" s="417"/>
      <c r="G74" s="417">
        <f t="shared" si="13"/>
        <v>8.3604828612499991E-3</v>
      </c>
      <c r="H74" s="416">
        <f t="shared" si="14"/>
        <v>0.17264968263874997</v>
      </c>
    </row>
    <row r="75" spans="1:8">
      <c r="A75" s="394">
        <v>12</v>
      </c>
      <c r="B75" s="240" t="s">
        <v>343</v>
      </c>
      <c r="C75" s="240" t="str">
        <f t="shared" si="15"/>
        <v>P&amp;M-15%</v>
      </c>
      <c r="D75" s="402">
        <f t="shared" si="12"/>
        <v>34.666955262939993</v>
      </c>
      <c r="E75" s="240">
        <f>10000000/(10^7)+'Manufacturing Setup '!D33</f>
        <v>1.3</v>
      </c>
      <c r="F75" s="417"/>
      <c r="G75" s="417">
        <f t="shared" si="13"/>
        <v>2.2561357681441012</v>
      </c>
      <c r="H75" s="416">
        <f t="shared" si="14"/>
        <v>33.710819494795892</v>
      </c>
    </row>
    <row r="76" spans="1:8">
      <c r="A76" s="394"/>
      <c r="B76" s="236"/>
      <c r="C76" s="236"/>
      <c r="D76" s="402"/>
      <c r="E76" s="240"/>
      <c r="F76" s="417"/>
      <c r="G76" s="417"/>
      <c r="H76" s="416"/>
    </row>
    <row r="77" spans="1:8">
      <c r="A77" s="394"/>
      <c r="B77" s="395"/>
      <c r="C77" s="395"/>
      <c r="D77" s="396"/>
      <c r="E77" s="418"/>
      <c r="F77" s="397"/>
      <c r="G77" s="397"/>
      <c r="H77" s="398"/>
    </row>
    <row r="78" spans="1:8" ht="13.5" thickBot="1">
      <c r="A78" s="404"/>
      <c r="B78" s="399" t="s">
        <v>611</v>
      </c>
      <c r="C78" s="399"/>
      <c r="D78" s="403">
        <f>SUM(D64:D77)</f>
        <v>41.978557400979994</v>
      </c>
      <c r="E78" s="403">
        <f>SUM(E64:E77)</f>
        <v>3.2700000000000005</v>
      </c>
      <c r="F78" s="403">
        <f>SUM(F64:F77)</f>
        <v>0</v>
      </c>
      <c r="G78" s="403">
        <f>SUM(G64:G77)</f>
        <v>2.8037222095068834</v>
      </c>
      <c r="H78" s="403">
        <f>SUM(H64:H77)</f>
        <v>42.444835191473111</v>
      </c>
    </row>
    <row r="81" spans="1:12" ht="13">
      <c r="A81" s="405"/>
      <c r="B81" s="406" t="s">
        <v>280</v>
      </c>
      <c r="C81" s="406"/>
      <c r="D81" s="406"/>
      <c r="E81" s="405"/>
      <c r="F81" s="405"/>
      <c r="G81" s="405"/>
      <c r="H81" s="405"/>
    </row>
    <row r="82" spans="1:12" ht="13">
      <c r="A82" s="384"/>
      <c r="B82" s="384"/>
      <c r="C82" s="384"/>
      <c r="D82" s="385" t="s">
        <v>599</v>
      </c>
      <c r="E82" s="385" t="s">
        <v>591</v>
      </c>
      <c r="F82" s="385" t="s">
        <v>600</v>
      </c>
      <c r="G82" s="385" t="s">
        <v>601</v>
      </c>
      <c r="H82" s="385" t="s">
        <v>602</v>
      </c>
    </row>
    <row r="83" spans="1:12" ht="25">
      <c r="A83" s="384"/>
      <c r="B83" s="384"/>
      <c r="C83" s="384"/>
      <c r="D83" s="386" t="s">
        <v>614</v>
      </c>
      <c r="E83" s="387" t="s">
        <v>604</v>
      </c>
      <c r="F83" s="386" t="s">
        <v>605</v>
      </c>
      <c r="G83" s="388" t="s">
        <v>606</v>
      </c>
      <c r="H83" s="386" t="s">
        <v>615</v>
      </c>
    </row>
    <row r="84" spans="1:12" ht="13">
      <c r="A84" s="389"/>
      <c r="B84" s="390" t="s">
        <v>608</v>
      </c>
      <c r="C84" s="390"/>
      <c r="D84" s="391"/>
      <c r="E84" s="420"/>
      <c r="F84" s="392"/>
      <c r="G84" s="392"/>
      <c r="H84" s="393"/>
    </row>
    <row r="85" spans="1:12" ht="13">
      <c r="A85" s="394">
        <v>1</v>
      </c>
      <c r="B85" s="240" t="s">
        <v>568</v>
      </c>
      <c r="C85" s="240" t="str">
        <f>E4</f>
        <v>P&amp;M-15%</v>
      </c>
      <c r="D85" s="402">
        <f t="shared" ref="D85:D96" si="16">H64</f>
        <v>8.9420068806875003E-2</v>
      </c>
      <c r="E85" s="419"/>
      <c r="F85" s="417"/>
      <c r="G85" s="417">
        <f t="shared" ref="G85:G96" si="17">(D85*$C4*$C$16)+(E85*$C4*$C$17)</f>
        <v>4.2474532683265624E-3</v>
      </c>
      <c r="H85" s="416">
        <f t="shared" ref="H85:H96" si="18">D85+E85-F85-G85</f>
        <v>8.5172615538548435E-2</v>
      </c>
      <c r="I85" s="923"/>
      <c r="J85" s="878"/>
      <c r="K85" s="878"/>
      <c r="L85" s="878"/>
    </row>
    <row r="86" spans="1:12">
      <c r="A86" s="394">
        <v>2</v>
      </c>
      <c r="B86" s="240" t="s">
        <v>570</v>
      </c>
      <c r="C86" s="240" t="str">
        <f t="shared" ref="C86:C96" si="19">E5</f>
        <v>P&amp;M-15%</v>
      </c>
      <c r="D86" s="402">
        <f t="shared" si="16"/>
        <v>4.814083113750001E-3</v>
      </c>
      <c r="E86" s="419"/>
      <c r="F86" s="417"/>
      <c r="G86" s="417">
        <f t="shared" si="17"/>
        <v>2.2866894790312504E-4</v>
      </c>
      <c r="H86" s="416">
        <f t="shared" si="18"/>
        <v>4.5854141658468756E-3</v>
      </c>
    </row>
    <row r="87" spans="1:12">
      <c r="A87" s="394">
        <v>3</v>
      </c>
      <c r="B87" s="240" t="s">
        <v>571</v>
      </c>
      <c r="C87" s="240" t="str">
        <f t="shared" si="19"/>
        <v>F&amp;F-10%</v>
      </c>
      <c r="D87" s="402">
        <f t="shared" si="16"/>
        <v>6.9517447660725002</v>
      </c>
      <c r="E87" s="240">
        <f>(200000+'Regional Office Cost'!F27)/(10^7)+'Manufacturing Setup '!E33</f>
        <v>0.32</v>
      </c>
      <c r="F87" s="417"/>
      <c r="G87" s="417">
        <f t="shared" si="17"/>
        <v>0.34160787638844381</v>
      </c>
      <c r="H87" s="416">
        <f t="shared" si="18"/>
        <v>6.9301368896840572</v>
      </c>
    </row>
    <row r="88" spans="1:12">
      <c r="A88" s="394">
        <v>4</v>
      </c>
      <c r="B88" s="240" t="s">
        <v>573</v>
      </c>
      <c r="C88" s="240" t="str">
        <f t="shared" si="19"/>
        <v>P&amp;M-40%</v>
      </c>
      <c r="D88" s="402">
        <f t="shared" si="16"/>
        <v>0.54822354803360906</v>
      </c>
      <c r="E88" s="240">
        <f>(200000+'Regional Office Cost'!F32)/(10^7)</f>
        <v>0.06</v>
      </c>
      <c r="F88" s="417"/>
      <c r="G88" s="417">
        <f t="shared" si="17"/>
        <v>9.390728765372032E-2</v>
      </c>
      <c r="H88" s="416">
        <f t="shared" si="18"/>
        <v>0.51431626037988876</v>
      </c>
    </row>
    <row r="89" spans="1:12">
      <c r="A89" s="394">
        <v>5</v>
      </c>
      <c r="B89" s="240" t="s">
        <v>575</v>
      </c>
      <c r="C89" s="240" t="str">
        <f t="shared" si="19"/>
        <v>P&amp;M-40%</v>
      </c>
      <c r="D89" s="402">
        <f t="shared" si="16"/>
        <v>5.5438128324838999E-2</v>
      </c>
      <c r="E89" s="419"/>
      <c r="F89" s="417"/>
      <c r="G89" s="417">
        <f t="shared" si="17"/>
        <v>8.7758557138220127E-3</v>
      </c>
      <c r="H89" s="416">
        <f t="shared" si="18"/>
        <v>4.6662272611016985E-2</v>
      </c>
    </row>
    <row r="90" spans="1:12">
      <c r="A90" s="394">
        <v>6</v>
      </c>
      <c r="B90" s="240" t="s">
        <v>576</v>
      </c>
      <c r="C90" s="240" t="str">
        <f t="shared" si="19"/>
        <v>P&amp;M-15%</v>
      </c>
      <c r="D90" s="402">
        <f t="shared" si="16"/>
        <v>0.77045579135892805</v>
      </c>
      <c r="E90" s="240">
        <f>1500000/(10^7)</f>
        <v>0.15</v>
      </c>
      <c r="F90" s="417"/>
      <c r="G90" s="417">
        <f t="shared" si="17"/>
        <v>0.10489514801344066</v>
      </c>
      <c r="H90" s="416">
        <f t="shared" si="18"/>
        <v>0.81556064334548739</v>
      </c>
    </row>
    <row r="91" spans="1:12">
      <c r="A91" s="394">
        <v>7</v>
      </c>
      <c r="B91" s="240" t="s">
        <v>577</v>
      </c>
      <c r="C91" s="240" t="str">
        <f t="shared" si="19"/>
        <v>P&amp;M-15%</v>
      </c>
      <c r="D91" s="402">
        <f t="shared" si="16"/>
        <v>2.8109242968592005E-2</v>
      </c>
      <c r="E91" s="419"/>
      <c r="F91" s="417"/>
      <c r="G91" s="417">
        <f t="shared" si="17"/>
        <v>3.3393780646687301E-3</v>
      </c>
      <c r="H91" s="416">
        <f t="shared" si="18"/>
        <v>2.4769864903923276E-2</v>
      </c>
    </row>
    <row r="92" spans="1:12">
      <c r="A92" s="394">
        <v>8</v>
      </c>
      <c r="B92" s="240" t="s">
        <v>578</v>
      </c>
      <c r="C92" s="240" t="str">
        <f t="shared" si="19"/>
        <v>P&amp;M-15%</v>
      </c>
      <c r="D92" s="402">
        <f t="shared" si="16"/>
        <v>5.5074218336875001E-2</v>
      </c>
      <c r="E92" s="240">
        <f>100000/(10^7)</f>
        <v>0.01</v>
      </c>
      <c r="F92" s="417"/>
      <c r="G92" s="417">
        <f t="shared" si="17"/>
        <v>2.9722753710015627E-3</v>
      </c>
      <c r="H92" s="416">
        <f t="shared" si="18"/>
        <v>6.2101942965873444E-2</v>
      </c>
    </row>
    <row r="93" spans="1:12">
      <c r="A93" s="394">
        <v>9</v>
      </c>
      <c r="B93" s="240" t="s">
        <v>579</v>
      </c>
      <c r="C93" s="240" t="str">
        <f t="shared" si="19"/>
        <v>P&amp;M-40%</v>
      </c>
      <c r="D93" s="402">
        <f t="shared" si="16"/>
        <v>4.3589663757500001E-2</v>
      </c>
      <c r="E93" s="240">
        <f>300000/(10^7)</f>
        <v>0.03</v>
      </c>
      <c r="F93" s="417"/>
      <c r="G93" s="417">
        <f t="shared" si="17"/>
        <v>6.278518056962501E-3</v>
      </c>
      <c r="H93" s="416">
        <f t="shared" si="18"/>
        <v>6.7311145700537506E-2</v>
      </c>
    </row>
    <row r="94" spans="1:12">
      <c r="A94" s="394">
        <v>10</v>
      </c>
      <c r="B94" s="240" t="s">
        <v>580</v>
      </c>
      <c r="C94" s="240" t="str">
        <f t="shared" si="19"/>
        <v>P&amp;M-40%</v>
      </c>
      <c r="D94" s="402">
        <f t="shared" si="16"/>
        <v>1.4496503265E-2</v>
      </c>
      <c r="E94" s="419"/>
      <c r="F94" s="417"/>
      <c r="G94" s="417">
        <f t="shared" si="17"/>
        <v>6.8858390508750005E-4</v>
      </c>
      <c r="H94" s="416">
        <f t="shared" si="18"/>
        <v>1.3807919359912501E-2</v>
      </c>
    </row>
    <row r="95" spans="1:12">
      <c r="A95" s="394">
        <v>11</v>
      </c>
      <c r="B95" s="240" t="s">
        <v>581</v>
      </c>
      <c r="C95" s="240" t="str">
        <f t="shared" si="19"/>
        <v>P&amp;M-15%</v>
      </c>
      <c r="D95" s="402">
        <f t="shared" si="16"/>
        <v>0.17264968263874997</v>
      </c>
      <c r="E95" s="240">
        <f>200000/(10^7)</f>
        <v>0.02</v>
      </c>
      <c r="F95" s="417"/>
      <c r="G95" s="417">
        <f t="shared" si="17"/>
        <v>8.9133599253406227E-3</v>
      </c>
      <c r="H95" s="416">
        <f t="shared" si="18"/>
        <v>0.18373632271340934</v>
      </c>
    </row>
    <row r="96" spans="1:12">
      <c r="A96" s="394">
        <v>12</v>
      </c>
      <c r="B96" s="240" t="s">
        <v>343</v>
      </c>
      <c r="C96" s="240" t="str">
        <f t="shared" si="19"/>
        <v>P&amp;M-15%</v>
      </c>
      <c r="D96" s="402">
        <f t="shared" si="16"/>
        <v>33.710819494795892</v>
      </c>
      <c r="E96" s="240">
        <f>10000000/(10^7)+'Manufacturing Setup '!E32</f>
        <v>1.7</v>
      </c>
      <c r="F96" s="417"/>
      <c r="G96" s="417">
        <f t="shared" si="17"/>
        <v>2.2146023740205796</v>
      </c>
      <c r="H96" s="416">
        <f t="shared" si="18"/>
        <v>33.196217120775316</v>
      </c>
    </row>
    <row r="97" spans="1:12">
      <c r="A97" s="394"/>
      <c r="B97" s="395"/>
      <c r="C97" s="395"/>
      <c r="D97" s="396"/>
      <c r="E97" s="418"/>
      <c r="F97" s="397"/>
      <c r="G97" s="401"/>
      <c r="H97" s="398"/>
    </row>
    <row r="98" spans="1:12" ht="13.5" thickBot="1">
      <c r="A98" s="404"/>
      <c r="B98" s="399" t="s">
        <v>611</v>
      </c>
      <c r="C98" s="399"/>
      <c r="D98" s="403">
        <f>SUM(D85:D97)</f>
        <v>42.444835191473111</v>
      </c>
      <c r="E98" s="403">
        <f>SUM(E85:E97)</f>
        <v>2.29</v>
      </c>
      <c r="F98" s="403">
        <f>SUM(F85:F97)</f>
        <v>0</v>
      </c>
      <c r="G98" s="403">
        <f>SUM(G85:G97)</f>
        <v>2.7904567793292969</v>
      </c>
      <c r="H98" s="403">
        <f>SUM(H85:H97)</f>
        <v>41.94437841214382</v>
      </c>
    </row>
    <row r="100" spans="1:12" ht="13">
      <c r="A100" s="405"/>
      <c r="B100" s="406" t="s">
        <v>281</v>
      </c>
      <c r="C100" s="406"/>
      <c r="D100" s="406"/>
      <c r="E100" s="405"/>
      <c r="F100" s="405"/>
      <c r="G100" s="405"/>
      <c r="H100" s="405"/>
    </row>
    <row r="101" spans="1:12" ht="13">
      <c r="A101" s="384"/>
      <c r="B101" s="384"/>
      <c r="C101" s="384"/>
      <c r="D101" s="385" t="s">
        <v>599</v>
      </c>
      <c r="E101" s="385" t="s">
        <v>591</v>
      </c>
      <c r="F101" s="385" t="s">
        <v>600</v>
      </c>
      <c r="G101" s="385" t="s">
        <v>601</v>
      </c>
      <c r="H101" s="385" t="s">
        <v>602</v>
      </c>
    </row>
    <row r="102" spans="1:12" ht="25">
      <c r="A102" s="384"/>
      <c r="B102" s="384"/>
      <c r="C102" s="384"/>
      <c r="D102" s="386" t="s">
        <v>616</v>
      </c>
      <c r="E102" s="387" t="s">
        <v>604</v>
      </c>
      <c r="F102" s="386" t="s">
        <v>605</v>
      </c>
      <c r="G102" s="388" t="s">
        <v>606</v>
      </c>
      <c r="H102" s="386" t="s">
        <v>617</v>
      </c>
    </row>
    <row r="103" spans="1:12" ht="13">
      <c r="A103" s="389"/>
      <c r="B103" s="390" t="s">
        <v>608</v>
      </c>
      <c r="C103" s="390"/>
      <c r="D103" s="391"/>
      <c r="E103" s="392"/>
      <c r="F103" s="392"/>
      <c r="G103" s="392"/>
      <c r="H103" s="393"/>
    </row>
    <row r="104" spans="1:12" ht="13">
      <c r="A104" s="394">
        <v>1</v>
      </c>
      <c r="B104" s="240" t="s">
        <v>568</v>
      </c>
      <c r="C104" s="240" t="str">
        <f>E4</f>
        <v>P&amp;M-15%</v>
      </c>
      <c r="D104" s="402">
        <f t="shared" ref="D104:D115" si="20">H85</f>
        <v>8.5172615538548435E-2</v>
      </c>
      <c r="E104" s="419"/>
      <c r="F104" s="417"/>
      <c r="G104" s="417">
        <f t="shared" ref="G104:G115" si="21">(D104*$C4*$C$16)+(E104*$C4*$C$17)</f>
        <v>4.0456992380810504E-3</v>
      </c>
      <c r="H104" s="416">
        <f t="shared" ref="H104:H115" si="22">D104+E104-F104-G104</f>
        <v>8.112691630046738E-2</v>
      </c>
      <c r="I104" s="923"/>
      <c r="J104" s="878"/>
      <c r="K104" s="878"/>
      <c r="L104" s="878"/>
    </row>
    <row r="105" spans="1:12">
      <c r="A105" s="394">
        <v>2</v>
      </c>
      <c r="B105" s="240" t="s">
        <v>570</v>
      </c>
      <c r="C105" s="240" t="str">
        <f t="shared" ref="C105:C115" si="23">E5</f>
        <v>P&amp;M-15%</v>
      </c>
      <c r="D105" s="402">
        <f t="shared" si="20"/>
        <v>4.5854141658468756E-3</v>
      </c>
      <c r="E105" s="419"/>
      <c r="F105" s="417"/>
      <c r="G105" s="417">
        <f t="shared" si="21"/>
        <v>2.178071728777266E-4</v>
      </c>
      <c r="H105" s="416">
        <f t="shared" si="22"/>
        <v>4.3676069929691492E-3</v>
      </c>
    </row>
    <row r="106" spans="1:12">
      <c r="A106" s="394">
        <v>3</v>
      </c>
      <c r="B106" s="240" t="s">
        <v>571</v>
      </c>
      <c r="C106" s="240" t="str">
        <f t="shared" si="23"/>
        <v>F&amp;F-10%</v>
      </c>
      <c r="D106" s="402">
        <f t="shared" si="20"/>
        <v>6.9301368896840572</v>
      </c>
      <c r="E106" s="240">
        <f>(200000+'Regional Office Cost'!G27)/(10^7)+'Manufacturing Setup '!F33</f>
        <v>0.32</v>
      </c>
      <c r="F106" s="417"/>
      <c r="G106" s="417">
        <f t="shared" si="21"/>
        <v>0.34058150225999273</v>
      </c>
      <c r="H106" s="416">
        <f t="shared" si="22"/>
        <v>6.9095553874240645</v>
      </c>
    </row>
    <row r="107" spans="1:12">
      <c r="A107" s="394">
        <v>4</v>
      </c>
      <c r="B107" s="240" t="s">
        <v>573</v>
      </c>
      <c r="C107" s="240" t="str">
        <f t="shared" si="23"/>
        <v>P&amp;M-40%</v>
      </c>
      <c r="D107" s="402">
        <f t="shared" si="20"/>
        <v>0.51431626037988876</v>
      </c>
      <c r="E107" s="240">
        <f>(200000+'Regional Office Cost'!G32)/(10^7)</f>
        <v>0.06</v>
      </c>
      <c r="F107" s="417"/>
      <c r="G107" s="417">
        <f t="shared" si="21"/>
        <v>8.8539764018136388E-2</v>
      </c>
      <c r="H107" s="416">
        <f t="shared" si="22"/>
        <v>0.48577649636175241</v>
      </c>
    </row>
    <row r="108" spans="1:12">
      <c r="A108" s="394">
        <v>5</v>
      </c>
      <c r="B108" s="240" t="s">
        <v>575</v>
      </c>
      <c r="C108" s="240" t="str">
        <f t="shared" si="23"/>
        <v>P&amp;M-40%</v>
      </c>
      <c r="D108" s="402">
        <f t="shared" si="20"/>
        <v>4.6662272611016985E-2</v>
      </c>
      <c r="E108" s="419"/>
      <c r="F108" s="417"/>
      <c r="G108" s="417">
        <f t="shared" si="21"/>
        <v>7.3866377543239884E-3</v>
      </c>
      <c r="H108" s="416">
        <f t="shared" si="22"/>
        <v>3.9275634856692998E-2</v>
      </c>
    </row>
    <row r="109" spans="1:12">
      <c r="A109" s="394">
        <v>6</v>
      </c>
      <c r="B109" s="240" t="s">
        <v>576</v>
      </c>
      <c r="C109" s="240" t="str">
        <f t="shared" si="23"/>
        <v>P&amp;M-15%</v>
      </c>
      <c r="D109" s="402">
        <f t="shared" si="20"/>
        <v>0.81556064334548739</v>
      </c>
      <c r="E109" s="240">
        <f>1500000/(10^7)</f>
        <v>0.15</v>
      </c>
      <c r="F109" s="417"/>
      <c r="G109" s="417">
        <f t="shared" si="21"/>
        <v>0.1102536044294439</v>
      </c>
      <c r="H109" s="416">
        <f t="shared" si="22"/>
        <v>0.85530703891604354</v>
      </c>
    </row>
    <row r="110" spans="1:12">
      <c r="A110" s="394">
        <v>7</v>
      </c>
      <c r="B110" s="240" t="s">
        <v>577</v>
      </c>
      <c r="C110" s="240" t="str">
        <f t="shared" si="23"/>
        <v>P&amp;M-15%</v>
      </c>
      <c r="D110" s="402">
        <f t="shared" si="20"/>
        <v>2.4769864903923276E-2</v>
      </c>
      <c r="E110" s="419"/>
      <c r="F110" s="417"/>
      <c r="G110" s="417">
        <f t="shared" si="21"/>
        <v>2.9426599505860854E-3</v>
      </c>
      <c r="H110" s="416">
        <f t="shared" si="22"/>
        <v>2.182720495333719E-2</v>
      </c>
    </row>
    <row r="111" spans="1:12">
      <c r="A111" s="394">
        <v>8</v>
      </c>
      <c r="B111" s="240" t="s">
        <v>578</v>
      </c>
      <c r="C111" s="240" t="str">
        <f t="shared" si="23"/>
        <v>P&amp;M-15%</v>
      </c>
      <c r="D111" s="402">
        <f t="shared" si="20"/>
        <v>6.2101942965873444E-2</v>
      </c>
      <c r="E111" s="240">
        <f>100000/(10^7)</f>
        <v>0.01</v>
      </c>
      <c r="F111" s="417"/>
      <c r="G111" s="417">
        <f t="shared" si="21"/>
        <v>3.3060922908789885E-3</v>
      </c>
      <c r="H111" s="416">
        <f t="shared" si="22"/>
        <v>6.8795850674994455E-2</v>
      </c>
    </row>
    <row r="112" spans="1:12">
      <c r="A112" s="394">
        <v>9</v>
      </c>
      <c r="B112" s="240" t="s">
        <v>579</v>
      </c>
      <c r="C112" s="240" t="str">
        <f t="shared" si="23"/>
        <v>P&amp;M-40%</v>
      </c>
      <c r="D112" s="402">
        <f t="shared" si="20"/>
        <v>6.7311145700537506E-2</v>
      </c>
      <c r="E112" s="419"/>
      <c r="F112" s="417"/>
      <c r="G112" s="417">
        <f t="shared" si="21"/>
        <v>6.394558841551063E-3</v>
      </c>
      <c r="H112" s="416">
        <f t="shared" si="22"/>
        <v>6.0916586858986446E-2</v>
      </c>
    </row>
    <row r="113" spans="1:8">
      <c r="A113" s="394">
        <v>10</v>
      </c>
      <c r="B113" s="240" t="s">
        <v>580</v>
      </c>
      <c r="C113" s="240" t="str">
        <f t="shared" si="23"/>
        <v>P&amp;M-40%</v>
      </c>
      <c r="D113" s="402">
        <f t="shared" si="20"/>
        <v>1.3807919359912501E-2</v>
      </c>
      <c r="E113" s="419"/>
      <c r="F113" s="417"/>
      <c r="G113" s="417">
        <f t="shared" si="21"/>
        <v>6.5587616959584378E-4</v>
      </c>
      <c r="H113" s="416">
        <f t="shared" si="22"/>
        <v>1.3152043190316657E-2</v>
      </c>
    </row>
    <row r="114" spans="1:8">
      <c r="A114" s="394">
        <v>11</v>
      </c>
      <c r="B114" s="240" t="s">
        <v>581</v>
      </c>
      <c r="C114" s="240" t="str">
        <f t="shared" si="23"/>
        <v>P&amp;M-15%</v>
      </c>
      <c r="D114" s="402">
        <f t="shared" si="20"/>
        <v>0.18373632271340934</v>
      </c>
      <c r="E114" s="240">
        <f>200000/(10^7)</f>
        <v>0.02</v>
      </c>
      <c r="F114" s="417"/>
      <c r="G114" s="417">
        <f t="shared" si="21"/>
        <v>9.4399753288869435E-3</v>
      </c>
      <c r="H114" s="416">
        <f t="shared" si="22"/>
        <v>0.19429634738452239</v>
      </c>
    </row>
    <row r="115" spans="1:8">
      <c r="A115" s="394">
        <v>12</v>
      </c>
      <c r="B115" s="240" t="s">
        <v>343</v>
      </c>
      <c r="C115" s="240" t="str">
        <f t="shared" si="23"/>
        <v>P&amp;M-15%</v>
      </c>
      <c r="D115" s="402">
        <f t="shared" si="20"/>
        <v>33.196217120775316</v>
      </c>
      <c r="E115" s="240">
        <f>10000000/(10^7)+'Manufacturing Setup '!F32</f>
        <v>1.7</v>
      </c>
      <c r="F115" s="417"/>
      <c r="G115" s="417">
        <f t="shared" si="21"/>
        <v>2.1820280437450772</v>
      </c>
      <c r="H115" s="416">
        <f t="shared" si="22"/>
        <v>32.714189077030241</v>
      </c>
    </row>
    <row r="116" spans="1:8">
      <c r="A116" s="394"/>
      <c r="B116" s="395"/>
      <c r="C116" s="395"/>
      <c r="D116" s="396"/>
      <c r="E116" s="418"/>
      <c r="F116" s="397"/>
      <c r="G116" s="401"/>
      <c r="H116" s="398"/>
    </row>
    <row r="117" spans="1:8" ht="13.5" thickBot="1">
      <c r="A117" s="404"/>
      <c r="B117" s="399" t="s">
        <v>611</v>
      </c>
      <c r="C117" s="399"/>
      <c r="D117" s="403">
        <f>SUM(D104:D116)</f>
        <v>41.94437841214382</v>
      </c>
      <c r="E117" s="403">
        <f>SUM(E104:E116)</f>
        <v>2.2599999999999998</v>
      </c>
      <c r="F117" s="403">
        <f>SUM(F104:F116)</f>
        <v>0</v>
      </c>
      <c r="G117" s="403">
        <f>SUM(G104:G116)</f>
        <v>2.7557922211994317</v>
      </c>
      <c r="H117" s="403">
        <f>SUM(H104:H116)</f>
        <v>41.44858619094439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2EE2-03A3-466E-809D-EE9C5C92E9E1}">
  <dimension ref="A3:H33"/>
  <sheetViews>
    <sheetView showGridLines="0" zoomScale="70" zoomScaleNormal="70" workbookViewId="0"/>
  </sheetViews>
  <sheetFormatPr defaultColWidth="8" defaultRowHeight="14"/>
  <cols>
    <col min="1" max="1" width="35.1796875" style="121" customWidth="1"/>
    <col min="2" max="2" width="13.1796875" style="121" bestFit="1" customWidth="1"/>
    <col min="3" max="3" width="13.453125" style="121" bestFit="1" customWidth="1"/>
    <col min="4" max="5" width="12.54296875" style="121" bestFit="1" customWidth="1"/>
    <col min="6" max="6" width="4.1796875" style="121" customWidth="1"/>
    <col min="7" max="7" width="9" style="121" bestFit="1" customWidth="1"/>
    <col min="8" max="16384" width="8" style="121"/>
  </cols>
  <sheetData>
    <row r="3" spans="1:7" ht="23">
      <c r="A3" s="602" t="s">
        <v>618</v>
      </c>
      <c r="B3" s="603"/>
    </row>
    <row r="4" spans="1:7">
      <c r="A4" s="121" t="s">
        <v>619</v>
      </c>
    </row>
    <row r="5" spans="1:7">
      <c r="A5" s="2"/>
      <c r="B5" s="2"/>
      <c r="C5" s="604"/>
      <c r="D5" s="604"/>
      <c r="E5" s="604"/>
    </row>
    <row r="6" spans="1:7">
      <c r="A6" s="841" t="s">
        <v>142</v>
      </c>
      <c r="B6" s="842">
        <v>2025</v>
      </c>
      <c r="C6" s="843">
        <v>2026</v>
      </c>
      <c r="D6" s="842">
        <v>2027</v>
      </c>
      <c r="E6" s="843">
        <v>2028</v>
      </c>
    </row>
    <row r="7" spans="1:7">
      <c r="A7" s="605" t="s">
        <v>249</v>
      </c>
      <c r="B7" s="606">
        <f>'P&amp;L'!F10+'P&amp;L'!F34</f>
        <v>302.89349225574</v>
      </c>
      <c r="C7" s="606">
        <f>'P&amp;L'!G10+'P&amp;L'!G34</f>
        <v>442.7794812011648</v>
      </c>
      <c r="D7" s="606">
        <f>'P&amp;L'!H10+'P&amp;L'!H34</f>
        <v>657.13595930321821</v>
      </c>
      <c r="E7" s="606">
        <f>'P&amp;L'!I10+'P&amp;L'!I34</f>
        <v>951.46234869308159</v>
      </c>
    </row>
    <row r="8" spans="1:7">
      <c r="A8" s="605"/>
      <c r="B8" s="606"/>
      <c r="C8" s="607"/>
      <c r="D8" s="605"/>
      <c r="E8" s="605"/>
    </row>
    <row r="9" spans="1:7">
      <c r="A9" s="608" t="s">
        <v>620</v>
      </c>
      <c r="B9" s="621">
        <f>'P&amp;L'!F44</f>
        <v>44.612987072895223</v>
      </c>
      <c r="C9" s="622">
        <f>'P&amp;L'!G44</f>
        <v>50.481435144797373</v>
      </c>
      <c r="D9" s="622">
        <f>'P&amp;L'!H44</f>
        <v>78.357895954758362</v>
      </c>
      <c r="E9" s="622">
        <f>'P&amp;L'!I44</f>
        <v>124.17139824126384</v>
      </c>
    </row>
    <row r="10" spans="1:7">
      <c r="A10" s="605" t="s">
        <v>621</v>
      </c>
      <c r="B10" s="620">
        <f>'P&amp;L'!F40</f>
        <v>2.12541269902</v>
      </c>
      <c r="C10" s="620">
        <f>'P&amp;L'!G40</f>
        <v>2.8037222095068834</v>
      </c>
      <c r="D10" s="620">
        <f>'P&amp;L'!H40</f>
        <v>2.7904567793292969</v>
      </c>
      <c r="E10" s="620">
        <f>'P&amp;L'!I40</f>
        <v>2.7557922211994317</v>
      </c>
    </row>
    <row r="11" spans="1:7">
      <c r="A11" s="605" t="s">
        <v>622</v>
      </c>
      <c r="B11" s="682">
        <f>'Tax Dep '!I25/10^7</f>
        <v>6.3043152317000004</v>
      </c>
      <c r="C11" s="683">
        <f>'Tax Dep '!I32/10^7</f>
        <v>5.8982835404999996</v>
      </c>
      <c r="D11" s="683">
        <f>'Tax Dep '!I40/10^7</f>
        <v>5.2127645523124997</v>
      </c>
      <c r="E11" s="683">
        <f>'Tax Dep '!I48/10^7</f>
        <v>4.7924091124931749</v>
      </c>
    </row>
    <row r="12" spans="1:7">
      <c r="A12" s="605" t="s">
        <v>623</v>
      </c>
      <c r="B12" s="606">
        <v>0</v>
      </c>
      <c r="C12" s="606">
        <v>0</v>
      </c>
      <c r="D12" s="606">
        <v>0</v>
      </c>
      <c r="E12" s="606">
        <v>0</v>
      </c>
    </row>
    <row r="13" spans="1:7">
      <c r="A13" s="605"/>
      <c r="B13" s="606"/>
      <c r="C13" s="609"/>
      <c r="D13" s="609"/>
      <c r="E13" s="609"/>
    </row>
    <row r="14" spans="1:7">
      <c r="A14" s="605"/>
      <c r="B14" s="606"/>
      <c r="C14" s="609"/>
      <c r="D14" s="609"/>
      <c r="E14" s="609"/>
    </row>
    <row r="15" spans="1:7">
      <c r="A15" s="610" t="s">
        <v>624</v>
      </c>
      <c r="B15" s="703">
        <f>B9+B10-B11-B12</f>
        <v>40.434084540215224</v>
      </c>
      <c r="C15" s="611">
        <f>C9+C10-C11-C12</f>
        <v>47.386873813804257</v>
      </c>
      <c r="D15" s="611">
        <f t="shared" ref="D15:E15" si="0">D9+D10-D11-D12</f>
        <v>75.935588181775159</v>
      </c>
      <c r="E15" s="611">
        <f t="shared" si="0"/>
        <v>122.1347813499701</v>
      </c>
    </row>
    <row r="16" spans="1:7">
      <c r="A16" s="612"/>
      <c r="B16" s="613"/>
      <c r="C16" s="614"/>
      <c r="D16" s="614"/>
      <c r="E16" s="614"/>
      <c r="G16" s="616"/>
    </row>
    <row r="17" spans="1:8">
      <c r="A17" s="605" t="s">
        <v>625</v>
      </c>
      <c r="B17" s="606"/>
      <c r="C17" s="614"/>
      <c r="D17" s="614"/>
      <c r="E17" s="614"/>
    </row>
    <row r="18" spans="1:8">
      <c r="A18" s="617" t="s">
        <v>599</v>
      </c>
      <c r="B18" s="618">
        <v>0</v>
      </c>
      <c r="C18" s="615">
        <f>B21</f>
        <v>0</v>
      </c>
      <c r="D18" s="615">
        <f>C21</f>
        <v>0</v>
      </c>
      <c r="E18" s="614">
        <f>D21</f>
        <v>0</v>
      </c>
    </row>
    <row r="19" spans="1:8">
      <c r="A19" s="617" t="s">
        <v>591</v>
      </c>
      <c r="B19" s="614">
        <f>IF(B15&lt;0,-B15,0)</f>
        <v>0</v>
      </c>
      <c r="C19" s="614">
        <f>IF(C15&lt;0,-C15,0)</f>
        <v>0</v>
      </c>
      <c r="D19" s="614">
        <f>IF(D15&lt;0,-D15,0)</f>
        <v>0</v>
      </c>
      <c r="E19" s="614">
        <f>IF(E15&lt;0,-E15,0)</f>
        <v>0</v>
      </c>
    </row>
    <row r="20" spans="1:8">
      <c r="A20" s="617" t="s">
        <v>626</v>
      </c>
      <c r="B20" s="614">
        <f>IF(B15&gt;0,MIN(B15,(B18+B19)),0)</f>
        <v>0</v>
      </c>
      <c r="C20" s="614">
        <f>IF(C15&gt;0,MIN(C15,(C18+C19)),0)</f>
        <v>0</v>
      </c>
      <c r="D20" s="614">
        <f>IF(D15&gt;0,MIN(D15,(D18+D19)),0)</f>
        <v>0</v>
      </c>
      <c r="E20" s="614">
        <f>IF(E15&gt;0,MIN(E15,(E18+E19)),0)</f>
        <v>0</v>
      </c>
    </row>
    <row r="21" spans="1:8">
      <c r="A21" s="617" t="s">
        <v>602</v>
      </c>
      <c r="B21" s="614">
        <f>B18+B19-B20</f>
        <v>0</v>
      </c>
      <c r="C21" s="614">
        <f>C18+C19-C20</f>
        <v>0</v>
      </c>
      <c r="D21" s="614">
        <f>D18+D19-D20</f>
        <v>0</v>
      </c>
      <c r="E21" s="614">
        <f>E18+E19-E20</f>
        <v>0</v>
      </c>
    </row>
    <row r="22" spans="1:8">
      <c r="A22" s="612"/>
      <c r="B22" s="613"/>
      <c r="C22" s="614"/>
      <c r="D22" s="614"/>
      <c r="E22" s="614"/>
    </row>
    <row r="23" spans="1:8">
      <c r="A23" s="610" t="s">
        <v>627</v>
      </c>
      <c r="B23" s="611">
        <f>B15-B20</f>
        <v>40.434084540215224</v>
      </c>
      <c r="C23" s="611">
        <f t="shared" ref="C23:E23" si="1">C15-C20</f>
        <v>47.386873813804257</v>
      </c>
      <c r="D23" s="611">
        <f t="shared" si="1"/>
        <v>75.935588181775159</v>
      </c>
      <c r="E23" s="611">
        <f t="shared" si="1"/>
        <v>122.1347813499701</v>
      </c>
    </row>
    <row r="24" spans="1:8">
      <c r="A24" s="605"/>
      <c r="B24" s="606"/>
      <c r="C24" s="605"/>
      <c r="D24" s="605"/>
      <c r="E24" s="605"/>
    </row>
    <row r="25" spans="1:8">
      <c r="A25" s="610" t="s">
        <v>144</v>
      </c>
      <c r="B25" s="847">
        <f>((IF(B7&lt;400,25%,30%)*(1+(IF(B15&lt;1,0%,IF(B15&lt;10,7%,12%)))))*(1.04))</f>
        <v>0.29120000000000001</v>
      </c>
      <c r="C25" s="847">
        <f>((IF(C7&lt;400,25%,30%)*(1+(IF(C15&lt;1,0%,IF(C15&lt;10,7%,12%)))))*(1.04))</f>
        <v>0.34944000000000003</v>
      </c>
      <c r="D25" s="847">
        <f>((IF(D7&lt;400,25%,30%)*(1+(IF(D15&lt;1,0%,IF(D15&lt;10,7%,12%)))))*(1.04))</f>
        <v>0.34944000000000003</v>
      </c>
      <c r="E25" s="847">
        <f>((IF(E7&lt;400,25%,30%)*(1+(IF(E15&lt;1,0%,IF(E15&lt;10,7%,12%)))))*(1.04))</f>
        <v>0.34944000000000003</v>
      </c>
      <c r="G25" s="584"/>
      <c r="H25" s="584"/>
    </row>
    <row r="26" spans="1:8">
      <c r="A26" s="605"/>
      <c r="B26" s="606"/>
      <c r="C26" s="605"/>
      <c r="D26" s="605"/>
      <c r="E26" s="605"/>
      <c r="G26" s="584"/>
      <c r="H26" s="584"/>
    </row>
    <row r="27" spans="1:8" s="2" customFormat="1">
      <c r="A27" s="610" t="s">
        <v>628</v>
      </c>
      <c r="B27" s="703">
        <f>IF(B23&gt;0,B23*B25,0)</f>
        <v>11.774405418110673</v>
      </c>
      <c r="C27" s="703">
        <f>IF(C23&gt;0,C23*C25,0)</f>
        <v>16.558869185495762</v>
      </c>
      <c r="D27" s="703">
        <f>IF(D23&gt;0,D23*D25,0)</f>
        <v>26.534931934239513</v>
      </c>
      <c r="E27" s="703">
        <f>IF(E23&gt;0,E23*E25,0)</f>
        <v>42.678777994933554</v>
      </c>
      <c r="G27" s="584"/>
      <c r="H27" s="584"/>
    </row>
    <row r="28" spans="1:8">
      <c r="B28" s="998">
        <v>5.5133240170856803</v>
      </c>
      <c r="C28" s="999">
        <v>6.8264674851646694</v>
      </c>
      <c r="D28" s="999">
        <v>13.067742630980035</v>
      </c>
      <c r="E28" s="999">
        <v>21.575328858718649</v>
      </c>
    </row>
    <row r="29" spans="1:8" hidden="1">
      <c r="A29" s="605" t="s">
        <v>629</v>
      </c>
      <c r="B29" s="619">
        <f>(15%*(1+(IF(B9&lt;100,0%,IF(B9&lt;1000,7%,12%)))))*(1.04)</f>
        <v>0.156</v>
      </c>
      <c r="C29" s="605"/>
      <c r="D29" s="605"/>
      <c r="E29" s="605"/>
    </row>
    <row r="30" spans="1:8" hidden="1">
      <c r="B30" s="209"/>
    </row>
    <row r="31" spans="1:8" hidden="1">
      <c r="A31" s="121" t="s">
        <v>630</v>
      </c>
      <c r="B31" s="209">
        <f>B9*B29</f>
        <v>6.9596259833716552</v>
      </c>
    </row>
    <row r="32" spans="1:8">
      <c r="B32" s="1000">
        <f>B28-B27</f>
        <v>-6.2610814010249927</v>
      </c>
      <c r="C32" s="1000">
        <f t="shared" ref="C32:E32" si="2">C28-C27</f>
        <v>-9.7324017003310921</v>
      </c>
      <c r="D32" s="1000">
        <f t="shared" si="2"/>
        <v>-13.467189303259477</v>
      </c>
      <c r="E32" s="1000">
        <f t="shared" si="2"/>
        <v>-21.103449136214905</v>
      </c>
    </row>
    <row r="33" spans="2:2">
      <c r="B33" s="209"/>
    </row>
  </sheetData>
  <pageMargins left="0.7" right="0.7" top="0.75" bottom="0.75" header="0.3" footer="0.3"/>
  <customProperties>
    <customPr name="OrphanNamesChecked" r:id="rId1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C552-48C0-4792-A10E-2B07E705FF08}">
  <dimension ref="B2:J49"/>
  <sheetViews>
    <sheetView showGridLines="0" zoomScale="90" zoomScaleNormal="90" workbookViewId="0"/>
  </sheetViews>
  <sheetFormatPr defaultColWidth="8.81640625" defaultRowHeight="14.5"/>
  <cols>
    <col min="1" max="1" width="4.54296875" customWidth="1"/>
    <col min="2" max="2" width="20.453125" customWidth="1"/>
    <col min="4" max="4" width="10.453125" bestFit="1" customWidth="1"/>
    <col min="5" max="5" width="14.453125" customWidth="1"/>
    <col min="6" max="6" width="14.54296875" customWidth="1"/>
    <col min="7" max="7" width="11.54296875" customWidth="1"/>
    <col min="8" max="8" width="15.1796875" customWidth="1"/>
    <col min="9" max="9" width="13.453125" customWidth="1"/>
    <col min="10" max="10" width="14.54296875" customWidth="1"/>
  </cols>
  <sheetData>
    <row r="2" spans="2:10" ht="18.5">
      <c r="B2" s="623" t="s">
        <v>631</v>
      </c>
      <c r="C2" s="624"/>
    </row>
    <row r="3" spans="2:10">
      <c r="B3" t="s">
        <v>632</v>
      </c>
    </row>
    <row r="4" spans="2:10">
      <c r="G4" s="633" t="s">
        <v>633</v>
      </c>
      <c r="I4" s="625">
        <v>0.5</v>
      </c>
    </row>
    <row r="5" spans="2:10">
      <c r="G5" s="633"/>
      <c r="I5" s="625"/>
    </row>
    <row r="6" spans="2:10">
      <c r="B6" s="46" t="s">
        <v>276</v>
      </c>
    </row>
    <row r="7" spans="2:10" ht="43.5">
      <c r="B7" s="669" t="s">
        <v>634</v>
      </c>
      <c r="C7" s="670" t="s">
        <v>635</v>
      </c>
      <c r="D7" s="670" t="s">
        <v>636</v>
      </c>
      <c r="E7" s="670" t="s">
        <v>637</v>
      </c>
      <c r="F7" s="670" t="s">
        <v>638</v>
      </c>
      <c r="G7" s="670" t="s">
        <v>639</v>
      </c>
      <c r="H7" s="670" t="s">
        <v>640</v>
      </c>
      <c r="I7" s="670" t="s">
        <v>601</v>
      </c>
      <c r="J7" s="671" t="s">
        <v>641</v>
      </c>
    </row>
    <row r="8" spans="2:10">
      <c r="B8" s="665" t="s">
        <v>642</v>
      </c>
      <c r="C8" s="625">
        <v>0.1</v>
      </c>
      <c r="D8" s="625" t="s">
        <v>572</v>
      </c>
      <c r="E8" s="626">
        <v>1266477</v>
      </c>
      <c r="F8" s="632">
        <v>266016</v>
      </c>
      <c r="G8" s="632">
        <f>280992-F8</f>
        <v>14976</v>
      </c>
      <c r="H8" s="632">
        <v>0</v>
      </c>
      <c r="I8" s="632">
        <f>(E8-H8)*C8+F8*C8+G8*C8*$I$4</f>
        <v>153998.1</v>
      </c>
      <c r="J8" s="627">
        <f>E8+F8+G8-H8-I8</f>
        <v>1393470.9</v>
      </c>
    </row>
    <row r="9" spans="2:10" ht="21" customHeight="1">
      <c r="B9" s="666" t="s">
        <v>643</v>
      </c>
      <c r="C9" s="656">
        <v>0.15</v>
      </c>
      <c r="D9" s="656" t="s">
        <v>569</v>
      </c>
      <c r="E9" s="661">
        <v>3773377</v>
      </c>
      <c r="F9" s="659">
        <v>1162600</v>
      </c>
      <c r="G9" s="659">
        <f>8181038-F9</f>
        <v>7018438</v>
      </c>
      <c r="H9" s="659">
        <v>0</v>
      </c>
      <c r="I9" s="659">
        <f>(E9-H9)*C9+F9*(C9)+G9*(C9)*$I$4</f>
        <v>1266779.3999999999</v>
      </c>
      <c r="J9" s="660">
        <f>E9+F9+G9-H9-I9</f>
        <v>10687635.6</v>
      </c>
    </row>
    <row r="10" spans="2:10">
      <c r="B10" s="667" t="s">
        <v>644</v>
      </c>
      <c r="C10" s="657">
        <v>0.4</v>
      </c>
      <c r="D10" s="657" t="s">
        <v>574</v>
      </c>
      <c r="E10" s="628">
        <v>1052356</v>
      </c>
      <c r="F10" s="664">
        <v>890640</v>
      </c>
      <c r="G10" s="664">
        <f>1923899-F10</f>
        <v>1033259</v>
      </c>
      <c r="H10" s="664">
        <v>0</v>
      </c>
      <c r="I10" s="662">
        <f>(E10-H10)*C10+F10*C10+G10*C10*$I$4</f>
        <v>983850.20000000007</v>
      </c>
      <c r="J10" s="663">
        <f>E10+F10+G10-H10-I10</f>
        <v>1992404.7999999998</v>
      </c>
    </row>
    <row r="11" spans="2:10">
      <c r="B11" s="672"/>
      <c r="C11" s="656"/>
      <c r="D11" s="656"/>
      <c r="E11" s="626"/>
      <c r="F11" s="632"/>
      <c r="G11" s="632"/>
      <c r="H11" s="632"/>
      <c r="I11" s="631">
        <f>SUM(I8:I10)</f>
        <v>2404627.7000000002</v>
      </c>
      <c r="J11" s="661"/>
    </row>
    <row r="12" spans="2:10">
      <c r="E12" s="630"/>
      <c r="F12" s="630"/>
      <c r="G12" s="630"/>
      <c r="H12" s="630"/>
      <c r="I12" s="630"/>
      <c r="J12" s="630"/>
    </row>
    <row r="13" spans="2:10">
      <c r="B13" s="46" t="s">
        <v>277</v>
      </c>
    </row>
    <row r="14" spans="2:10" ht="43.5">
      <c r="B14" s="669" t="s">
        <v>634</v>
      </c>
      <c r="C14" s="670" t="s">
        <v>635</v>
      </c>
      <c r="D14" s="670" t="s">
        <v>636</v>
      </c>
      <c r="E14" s="670" t="s">
        <v>645</v>
      </c>
      <c r="F14" s="670" t="s">
        <v>638</v>
      </c>
      <c r="G14" s="670" t="s">
        <v>639</v>
      </c>
      <c r="H14" s="670" t="s">
        <v>640</v>
      </c>
      <c r="I14" s="670" t="s">
        <v>601</v>
      </c>
      <c r="J14" s="671" t="s">
        <v>646</v>
      </c>
    </row>
    <row r="15" spans="2:10">
      <c r="B15" s="665" t="s">
        <v>642</v>
      </c>
      <c r="C15" s="625">
        <v>0.1</v>
      </c>
      <c r="D15" s="625" t="s">
        <v>572</v>
      </c>
      <c r="E15" s="626">
        <f>J8</f>
        <v>1393470.9</v>
      </c>
      <c r="F15" s="632">
        <f>SUMIF(Capex!$C$24:$C$35,'Tax Dep '!D15,Capex!$E$24:$E$35)*10^7</f>
        <v>579761</v>
      </c>
      <c r="G15" s="632"/>
      <c r="H15" s="632"/>
      <c r="I15" s="632">
        <f>(E15-H15)*C15+F15*C15+G15*C15*$I$4</f>
        <v>197323.19</v>
      </c>
      <c r="J15" s="627">
        <f>E15+F15+G15-H15-I15</f>
        <v>1775908.71</v>
      </c>
    </row>
    <row r="16" spans="2:10">
      <c r="B16" s="666" t="s">
        <v>643</v>
      </c>
      <c r="C16" s="656">
        <v>0.15</v>
      </c>
      <c r="D16" s="656" t="s">
        <v>569</v>
      </c>
      <c r="E16" s="626">
        <f t="shared" ref="E16:E17" si="0">J9</f>
        <v>10687635.6</v>
      </c>
      <c r="F16" s="632">
        <f>SUMIF(Capex!$C$24:$C$35,'Tax Dep '!D16,Capex!$E$24:$E$35)*10^7</f>
        <v>3152890.0000000005</v>
      </c>
      <c r="G16" s="632"/>
      <c r="H16" s="632"/>
      <c r="I16" s="659">
        <f>(E16-H16)*C16+F16*(C16)+G16*(C16)*$I$4</f>
        <v>2076078.8399999999</v>
      </c>
      <c r="J16" s="627">
        <f>E16+F16+G16-H16-I16</f>
        <v>11764446.76</v>
      </c>
    </row>
    <row r="17" spans="2:10">
      <c r="B17" s="667" t="s">
        <v>644</v>
      </c>
      <c r="C17" s="657">
        <v>0.4</v>
      </c>
      <c r="D17" s="657" t="s">
        <v>574</v>
      </c>
      <c r="E17" s="628">
        <f t="shared" si="0"/>
        <v>1992404.7999999998</v>
      </c>
      <c r="F17" s="664">
        <f>SUMIF(Capex!$C$24:$C$35,'Tax Dep '!D17,Capex!$E$24:$E$35)*10^7</f>
        <v>1136322</v>
      </c>
      <c r="G17" s="664"/>
      <c r="H17" s="664"/>
      <c r="I17" s="662">
        <f>(E17-H17)*C17+F17*C17+G17*C17*$I$4</f>
        <v>1251490.72</v>
      </c>
      <c r="J17" s="629">
        <f>E17+F17+G17-H17-I17</f>
        <v>1877236.0799999998</v>
      </c>
    </row>
    <row r="18" spans="2:10">
      <c r="E18" s="630"/>
      <c r="F18" s="630">
        <f>SUM(F15:F17)</f>
        <v>4868973</v>
      </c>
      <c r="G18" s="630"/>
      <c r="H18" s="630"/>
      <c r="I18" s="631">
        <f>SUM(I15:I17)</f>
        <v>3524892.75</v>
      </c>
      <c r="J18" s="630"/>
    </row>
    <row r="19" spans="2:10" s="676" customFormat="1">
      <c r="E19" s="677"/>
      <c r="F19" s="677">
        <f>Capex!E37*10^7-'Tax Dep '!F18</f>
        <v>0</v>
      </c>
      <c r="G19" s="677"/>
      <c r="H19" s="677"/>
      <c r="I19" s="678"/>
      <c r="J19" s="677"/>
    </row>
    <row r="20" spans="2:10">
      <c r="B20" s="46" t="s">
        <v>278</v>
      </c>
    </row>
    <row r="21" spans="2:10" ht="43.5">
      <c r="B21" s="669" t="s">
        <v>634</v>
      </c>
      <c r="C21" s="670" t="s">
        <v>635</v>
      </c>
      <c r="D21" s="670" t="s">
        <v>636</v>
      </c>
      <c r="E21" s="670" t="s">
        <v>647</v>
      </c>
      <c r="F21" s="670" t="s">
        <v>638</v>
      </c>
      <c r="G21" s="670" t="s">
        <v>639</v>
      </c>
      <c r="H21" s="670" t="s">
        <v>640</v>
      </c>
      <c r="I21" s="670" t="s">
        <v>601</v>
      </c>
      <c r="J21" s="671" t="s">
        <v>648</v>
      </c>
    </row>
    <row r="22" spans="2:10">
      <c r="B22" s="665" t="s">
        <v>642</v>
      </c>
      <c r="C22" s="625">
        <v>0.1</v>
      </c>
      <c r="D22" s="625" t="s">
        <v>572</v>
      </c>
      <c r="E22" s="626">
        <f>J15</f>
        <v>1775908.71</v>
      </c>
      <c r="F22" s="632">
        <f>SUMIF(Capex!$C$44:$C$55,'Tax Dep '!D22,Capex!$E$44:$E$55)*10^7</f>
        <v>60000000</v>
      </c>
      <c r="G22" s="632"/>
      <c r="H22" s="632"/>
      <c r="I22" s="632">
        <f>(E22-H22)*C22+F22*C22+G22*C22*$I$4</f>
        <v>6177590.8710000003</v>
      </c>
      <c r="J22" s="627">
        <f>E22+F22+G22-H22-I22</f>
        <v>55598317.839000002</v>
      </c>
    </row>
    <row r="23" spans="2:10">
      <c r="B23" s="666" t="s">
        <v>643</v>
      </c>
      <c r="C23" s="656">
        <v>0.15</v>
      </c>
      <c r="D23" s="656" t="s">
        <v>569</v>
      </c>
      <c r="E23" s="626">
        <f t="shared" ref="E23:E24" si="1">J16</f>
        <v>11764446.76</v>
      </c>
      <c r="F23" s="632">
        <f>SUMIF(Capex!$C$44:$C$55,'Tax Dep '!D23,Capex!$E$44:$E$55)*10^7</f>
        <v>361800000</v>
      </c>
      <c r="G23" s="632"/>
      <c r="H23" s="632"/>
      <c r="I23" s="659">
        <f>(E23-H23)*C23+F23*(C23)+G23*(C23)*$I$4</f>
        <v>56034667.013999999</v>
      </c>
      <c r="J23" s="627">
        <f>E23+F23+G23-H23-I23</f>
        <v>317529779.74599999</v>
      </c>
    </row>
    <row r="24" spans="2:10">
      <c r="B24" s="667" t="s">
        <v>644</v>
      </c>
      <c r="C24" s="657">
        <v>0.4</v>
      </c>
      <c r="D24" s="657" t="s">
        <v>574</v>
      </c>
      <c r="E24" s="628">
        <f t="shared" si="1"/>
        <v>1877236.0799999998</v>
      </c>
      <c r="F24" s="664">
        <f>SUMIF(Capex!$C$44:$C$55,'Tax Dep '!D24,Capex!$E$44:$E$55)*10^7</f>
        <v>200000</v>
      </c>
      <c r="G24" s="664"/>
      <c r="H24" s="664"/>
      <c r="I24" s="662">
        <f>(E24-H24)*C24+F24*C24+G24*C24*$I$4</f>
        <v>830894.43200000003</v>
      </c>
      <c r="J24" s="629">
        <f>E24+F24+G24-H24-I24</f>
        <v>1246341.6479999998</v>
      </c>
    </row>
    <row r="25" spans="2:10">
      <c r="F25" s="996">
        <f>SUM(F22:F24)</f>
        <v>422000000</v>
      </c>
      <c r="I25" s="631">
        <f>SUM(I22:I24)</f>
        <v>63043152.317000002</v>
      </c>
    </row>
    <row r="26" spans="2:10" s="676" customFormat="1">
      <c r="F26" s="679">
        <f>Capex!E57*10^7-'Tax Dep '!F25</f>
        <v>0</v>
      </c>
    </row>
    <row r="27" spans="2:10">
      <c r="B27" s="46" t="s">
        <v>279</v>
      </c>
    </row>
    <row r="28" spans="2:10" ht="43.5">
      <c r="B28" s="669" t="s">
        <v>634</v>
      </c>
      <c r="C28" s="670" t="s">
        <v>635</v>
      </c>
      <c r="D28" s="670" t="s">
        <v>636</v>
      </c>
      <c r="E28" s="670" t="s">
        <v>647</v>
      </c>
      <c r="F28" s="670" t="s">
        <v>638</v>
      </c>
      <c r="G28" s="670" t="s">
        <v>639</v>
      </c>
      <c r="H28" s="670" t="s">
        <v>640</v>
      </c>
      <c r="I28" s="670" t="s">
        <v>601</v>
      </c>
      <c r="J28" s="671" t="s">
        <v>648</v>
      </c>
    </row>
    <row r="29" spans="2:10">
      <c r="B29" s="665" t="s">
        <v>642</v>
      </c>
      <c r="C29" s="625">
        <v>0.1</v>
      </c>
      <c r="D29" s="625" t="s">
        <v>572</v>
      </c>
      <c r="E29" s="626">
        <f>J22</f>
        <v>55598317.839000002</v>
      </c>
      <c r="F29" s="632">
        <f>SUMIF(Capex!$C$64:$C$75,'Tax Dep '!D29,Capex!$E$64:$E$75)*10^7</f>
        <v>13200000</v>
      </c>
      <c r="G29" s="632"/>
      <c r="H29" s="632"/>
      <c r="I29" s="632">
        <f>(E29-H29)*C29+F29*C29+G29*C29*$I$4</f>
        <v>6879831.7839000002</v>
      </c>
      <c r="J29" s="627">
        <f>E29+F29+G29-H29-I29</f>
        <v>61918486.055100001</v>
      </c>
    </row>
    <row r="30" spans="2:10">
      <c r="B30" s="666" t="s">
        <v>643</v>
      </c>
      <c r="C30" s="656">
        <v>0.15</v>
      </c>
      <c r="D30" s="656" t="s">
        <v>569</v>
      </c>
      <c r="E30" s="626">
        <f>J23</f>
        <v>317529779.74599999</v>
      </c>
      <c r="F30" s="632">
        <f>SUMIF(Capex!$C$64:$C$75,'Tax Dep '!D30,Capex!$E$64:$E$75)*10^7</f>
        <v>15300000</v>
      </c>
      <c r="G30" s="632"/>
      <c r="H30" s="632"/>
      <c r="I30" s="659">
        <f>(E30-H30)*C30+F30*(C30)+G30*(C30)*$I$4</f>
        <v>49924466.961899996</v>
      </c>
      <c r="J30" s="627">
        <f>E30+F30+G30-H30-I30</f>
        <v>282905312.7841</v>
      </c>
    </row>
    <row r="31" spans="2:10">
      <c r="B31" s="667" t="s">
        <v>644</v>
      </c>
      <c r="C31" s="657">
        <v>0.4</v>
      </c>
      <c r="D31" s="657" t="s">
        <v>574</v>
      </c>
      <c r="E31" s="628">
        <f>J24</f>
        <v>1246341.6479999998</v>
      </c>
      <c r="F31" s="664">
        <f>SUMIF(Capex!$C$64:$C$75,'Tax Dep '!D31,Capex!$E$64:$E$75)*10^7</f>
        <v>4200000</v>
      </c>
      <c r="G31" s="664"/>
      <c r="H31" s="664"/>
      <c r="I31" s="662">
        <f>(E31-H31)*C31+F31*C31+G31*C31*$I$4</f>
        <v>2178536.6592000001</v>
      </c>
      <c r="J31" s="629">
        <f>E31+F31+G31-H31-I31</f>
        <v>3267804.9887999999</v>
      </c>
    </row>
    <row r="32" spans="2:10">
      <c r="F32" s="996">
        <f>SUM(F29:F31)</f>
        <v>32700000</v>
      </c>
      <c r="I32" s="631">
        <f>SUM(I29:I31)</f>
        <v>58982835.404999994</v>
      </c>
    </row>
    <row r="33" spans="2:10" s="676" customFormat="1">
      <c r="F33" s="679">
        <f>Capex!E78*10^7-F32</f>
        <v>0</v>
      </c>
    </row>
    <row r="35" spans="2:10">
      <c r="B35" s="46" t="s">
        <v>280</v>
      </c>
    </row>
    <row r="36" spans="2:10" ht="43.5">
      <c r="B36" s="669" t="s">
        <v>634</v>
      </c>
      <c r="C36" s="670" t="s">
        <v>635</v>
      </c>
      <c r="D36" s="670" t="s">
        <v>636</v>
      </c>
      <c r="E36" s="670" t="s">
        <v>647</v>
      </c>
      <c r="F36" s="670" t="s">
        <v>638</v>
      </c>
      <c r="G36" s="670" t="s">
        <v>639</v>
      </c>
      <c r="H36" s="670" t="s">
        <v>640</v>
      </c>
      <c r="I36" s="670" t="s">
        <v>601</v>
      </c>
      <c r="J36" s="671" t="s">
        <v>648</v>
      </c>
    </row>
    <row r="37" spans="2:10">
      <c r="B37" s="665" t="s">
        <v>642</v>
      </c>
      <c r="C37" s="625">
        <v>0.1</v>
      </c>
      <c r="D37" s="625" t="s">
        <v>572</v>
      </c>
      <c r="E37" s="626">
        <f>J29</f>
        <v>61918486.055100001</v>
      </c>
      <c r="F37" s="632">
        <f>SUMIF(Capex!$C$85:$C$96,'Tax Dep '!D37,Capex!$E$85:$E$96)*10^7</f>
        <v>3200000</v>
      </c>
      <c r="G37" s="632"/>
      <c r="H37" s="632"/>
      <c r="I37" s="632">
        <f>(E37-H37)*C37+F37*C37+G37*C37*$I$4</f>
        <v>6511848.6055100001</v>
      </c>
      <c r="J37" s="627">
        <f>E37+F37+G37-H37-I37</f>
        <v>58606637.449589998</v>
      </c>
    </row>
    <row r="38" spans="2:10">
      <c r="B38" s="666" t="s">
        <v>643</v>
      </c>
      <c r="C38" s="656">
        <v>0.15</v>
      </c>
      <c r="D38" s="656" t="s">
        <v>569</v>
      </c>
      <c r="E38" s="626">
        <f>J30</f>
        <v>282905312.7841</v>
      </c>
      <c r="F38" s="632">
        <f>SUMIF(Capex!$C$85:$C$96,'Tax Dep '!D38,Capex!$E$85:$E$96)*10^7</f>
        <v>18800000</v>
      </c>
      <c r="G38" s="632"/>
      <c r="H38" s="632"/>
      <c r="I38" s="659">
        <f>(E38-H38)*C38+F38*(C38)+G38*(C38)*$I$4</f>
        <v>45255796.917614996</v>
      </c>
      <c r="J38" s="627">
        <f>E38+F38+G38-H38-I38</f>
        <v>256449515.866485</v>
      </c>
    </row>
    <row r="39" spans="2:10">
      <c r="B39" s="667" t="s">
        <v>644</v>
      </c>
      <c r="C39" s="657">
        <v>0.4</v>
      </c>
      <c r="D39" s="657" t="s">
        <v>574</v>
      </c>
      <c r="E39" s="628">
        <v>0</v>
      </c>
      <c r="F39" s="664">
        <f>SUMIF(Capex!$C$85:$C$96,'Tax Dep '!D39,Capex!$E$85:$E$96)*10^7</f>
        <v>900000</v>
      </c>
      <c r="G39" s="664"/>
      <c r="H39" s="664"/>
      <c r="I39" s="662">
        <f>(E39-H39)*C39+F39*C39+G39*C39*$I$4</f>
        <v>360000</v>
      </c>
      <c r="J39" s="629">
        <f>E39+F39+G39-H39-I39</f>
        <v>540000</v>
      </c>
    </row>
    <row r="40" spans="2:10">
      <c r="F40" s="996">
        <f>SUM(F37:F39)</f>
        <v>22900000</v>
      </c>
      <c r="I40" s="631">
        <f>SUM(I37:I39)</f>
        <v>52127645.523124993</v>
      </c>
    </row>
    <row r="41" spans="2:10" s="676" customFormat="1">
      <c r="F41" s="679">
        <f>Capex!E98*10^7-F40</f>
        <v>0</v>
      </c>
    </row>
    <row r="43" spans="2:10">
      <c r="B43" s="46" t="s">
        <v>281</v>
      </c>
    </row>
    <row r="44" spans="2:10" ht="43.5">
      <c r="B44" s="669" t="s">
        <v>634</v>
      </c>
      <c r="C44" s="670" t="s">
        <v>635</v>
      </c>
      <c r="D44" s="670" t="s">
        <v>636</v>
      </c>
      <c r="E44" s="670" t="s">
        <v>647</v>
      </c>
      <c r="F44" s="670" t="s">
        <v>638</v>
      </c>
      <c r="G44" s="670" t="s">
        <v>639</v>
      </c>
      <c r="H44" s="670" t="s">
        <v>640</v>
      </c>
      <c r="I44" s="670" t="s">
        <v>601</v>
      </c>
      <c r="J44" s="671" t="s">
        <v>648</v>
      </c>
    </row>
    <row r="45" spans="2:10">
      <c r="B45" s="665" t="s">
        <v>642</v>
      </c>
      <c r="C45" s="625">
        <v>0.1</v>
      </c>
      <c r="D45" s="625" t="s">
        <v>572</v>
      </c>
      <c r="E45" s="626">
        <f>J37</f>
        <v>58606637.449589998</v>
      </c>
      <c r="F45" s="632">
        <f>SUMIF(Capex!$C$104:$C$115,'Tax Dep '!D45,Capex!$E$104:$E$115)*10^7</f>
        <v>3200000</v>
      </c>
      <c r="G45" s="632"/>
      <c r="H45" s="632"/>
      <c r="I45" s="632">
        <f>(E45-H45)*C45+F45*C45+G45*C45*$I$4</f>
        <v>6180663.7449590005</v>
      </c>
      <c r="J45" s="627">
        <f>E45+F45+G45-H45-I45</f>
        <v>55625973.704631001</v>
      </c>
    </row>
    <row r="46" spans="2:10">
      <c r="B46" s="666" t="s">
        <v>643</v>
      </c>
      <c r="C46" s="656">
        <v>0.15</v>
      </c>
      <c r="D46" s="656" t="s">
        <v>569</v>
      </c>
      <c r="E46" s="626">
        <f>J38</f>
        <v>256449515.866485</v>
      </c>
      <c r="F46" s="632">
        <f>SUMIF(Capex!$C$104:$C$115,'Tax Dep '!D46,Capex!$E$104:$E$115)*10^7</f>
        <v>18800000</v>
      </c>
      <c r="G46" s="632"/>
      <c r="H46" s="632"/>
      <c r="I46" s="659">
        <f>(E46-H46)*C46+F46*(C46)+G46*(C46)*$I$4</f>
        <v>41287427.379972748</v>
      </c>
      <c r="J46" s="627">
        <f>E46+F46+G46-H46-I46</f>
        <v>233962088.48651224</v>
      </c>
    </row>
    <row r="47" spans="2:10">
      <c r="B47" s="667" t="s">
        <v>644</v>
      </c>
      <c r="C47" s="657">
        <v>0.4</v>
      </c>
      <c r="D47" s="657" t="s">
        <v>574</v>
      </c>
      <c r="E47" s="628">
        <f>J39</f>
        <v>540000</v>
      </c>
      <c r="F47" s="664">
        <f>SUMIF(Capex!$C$104:$C$115,'Tax Dep '!D47,Capex!$E$104:$E$115)*10^7</f>
        <v>600000</v>
      </c>
      <c r="G47" s="664"/>
      <c r="H47" s="664"/>
      <c r="I47" s="662">
        <f>(E47-H47)*C47+F47*C47+G47*C47*$I$4</f>
        <v>456000</v>
      </c>
      <c r="J47" s="629">
        <f>E47+F47+G47-H47-I47</f>
        <v>684000</v>
      </c>
    </row>
    <row r="48" spans="2:10">
      <c r="F48" s="996">
        <f>SUM(F45:F47)</f>
        <v>22600000</v>
      </c>
      <c r="I48" s="631">
        <f>SUM(I45:I47)</f>
        <v>47924091.124931753</v>
      </c>
    </row>
    <row r="49" spans="6:6" s="676" customFormat="1">
      <c r="F49" s="679">
        <f>Capex!E117*10^7-F48</f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B4AC-E4C8-4AE7-A423-FEB4754B6540}">
  <dimension ref="A2:U96"/>
  <sheetViews>
    <sheetView showGridLines="0" topLeftCell="A52" zoomScale="80" zoomScaleNormal="80" workbookViewId="0">
      <selection activeCell="G48" sqref="G48"/>
    </sheetView>
  </sheetViews>
  <sheetFormatPr defaultColWidth="8.81640625" defaultRowHeight="14.5"/>
  <cols>
    <col min="1" max="1" width="4.1796875" customWidth="1"/>
    <col min="2" max="2" width="53.7265625" bestFit="1" customWidth="1"/>
    <col min="3" max="3" width="17.453125" customWidth="1"/>
    <col min="4" max="21" width="15.7265625" customWidth="1"/>
  </cols>
  <sheetData>
    <row r="2" spans="1:21">
      <c r="A2" s="46">
        <v>1</v>
      </c>
      <c r="B2" s="46" t="s">
        <v>79</v>
      </c>
    </row>
    <row r="3" spans="1:21">
      <c r="B3" s="766" t="s">
        <v>387</v>
      </c>
      <c r="C3" s="767">
        <v>44957</v>
      </c>
      <c r="D3" s="767">
        <f>EOMONTH(C3,1)</f>
        <v>44985</v>
      </c>
      <c r="E3" s="767">
        <f t="shared" ref="E3:T3" si="0">EOMONTH(D3,1)</f>
        <v>45016</v>
      </c>
      <c r="F3" s="767">
        <f t="shared" si="0"/>
        <v>45046</v>
      </c>
      <c r="G3" s="767">
        <f t="shared" si="0"/>
        <v>45077</v>
      </c>
      <c r="H3" s="767">
        <f t="shared" si="0"/>
        <v>45107</v>
      </c>
      <c r="I3" s="767">
        <f t="shared" si="0"/>
        <v>45138</v>
      </c>
      <c r="J3" s="767">
        <f t="shared" si="0"/>
        <v>45169</v>
      </c>
      <c r="K3" s="767">
        <f t="shared" si="0"/>
        <v>45199</v>
      </c>
      <c r="L3" s="767">
        <f t="shared" si="0"/>
        <v>45230</v>
      </c>
      <c r="M3" s="767">
        <f t="shared" si="0"/>
        <v>45260</v>
      </c>
      <c r="N3" s="767">
        <f t="shared" si="0"/>
        <v>45291</v>
      </c>
      <c r="O3" s="767">
        <f t="shared" si="0"/>
        <v>45322</v>
      </c>
      <c r="P3" s="767">
        <f t="shared" si="0"/>
        <v>45351</v>
      </c>
      <c r="Q3" s="767">
        <f t="shared" si="0"/>
        <v>45382</v>
      </c>
      <c r="R3" s="767">
        <f t="shared" si="0"/>
        <v>45412</v>
      </c>
      <c r="S3" s="767">
        <f t="shared" si="0"/>
        <v>45443</v>
      </c>
      <c r="T3" s="767">
        <f t="shared" si="0"/>
        <v>45473</v>
      </c>
    </row>
    <row r="4" spans="1:21">
      <c r="B4" s="680" t="s">
        <v>649</v>
      </c>
      <c r="C4" s="680">
        <v>89</v>
      </c>
      <c r="D4" s="680">
        <v>94</v>
      </c>
      <c r="E4" s="680">
        <v>138</v>
      </c>
      <c r="F4" s="680">
        <v>114</v>
      </c>
      <c r="G4" s="680">
        <v>146</v>
      </c>
      <c r="H4" s="680">
        <v>143</v>
      </c>
      <c r="I4" s="680">
        <v>174</v>
      </c>
      <c r="J4" s="680">
        <v>181</v>
      </c>
      <c r="K4" s="680">
        <v>199</v>
      </c>
      <c r="L4" s="680">
        <v>160</v>
      </c>
      <c r="M4" s="680">
        <v>163</v>
      </c>
      <c r="N4" s="680">
        <v>159</v>
      </c>
      <c r="O4" s="680">
        <v>114</v>
      </c>
      <c r="P4" s="680">
        <v>160</v>
      </c>
      <c r="Q4" s="680">
        <v>214</v>
      </c>
      <c r="R4" s="680">
        <v>248</v>
      </c>
      <c r="S4" s="680">
        <v>294</v>
      </c>
      <c r="T4" s="680">
        <v>229</v>
      </c>
    </row>
    <row r="5" spans="1:21">
      <c r="B5" s="680" t="s">
        <v>650</v>
      </c>
      <c r="C5" s="722">
        <v>34015041.679999992</v>
      </c>
      <c r="D5" s="722">
        <v>40025038.499999993</v>
      </c>
      <c r="E5" s="722">
        <v>84333630.589999974</v>
      </c>
      <c r="F5" s="722">
        <v>46720599.61999999</v>
      </c>
      <c r="G5" s="722">
        <v>79670683.659999967</v>
      </c>
      <c r="H5" s="722">
        <v>55213939.349999987</v>
      </c>
      <c r="I5" s="722">
        <v>76444303.359999925</v>
      </c>
      <c r="J5" s="722">
        <v>79798897.840000004</v>
      </c>
      <c r="K5" s="722">
        <v>92461625.889999956</v>
      </c>
      <c r="L5" s="722">
        <v>88573938.209999964</v>
      </c>
      <c r="M5" s="722">
        <v>88425522.700000003</v>
      </c>
      <c r="N5" s="722">
        <v>84395008.929999992</v>
      </c>
      <c r="O5" s="722">
        <v>132927814.71999998</v>
      </c>
      <c r="P5" s="722">
        <v>192502685.8500002</v>
      </c>
      <c r="Q5" s="722">
        <v>326675617.44999963</v>
      </c>
      <c r="R5" s="873">
        <v>219260840.06</v>
      </c>
      <c r="S5" s="873">
        <v>271501602.38999999</v>
      </c>
      <c r="T5" s="873">
        <v>256046525.68000001</v>
      </c>
      <c r="U5" s="753"/>
    </row>
    <row r="6" spans="1:21">
      <c r="B6" s="680"/>
      <c r="C6" s="721">
        <f>C5/C7</f>
        <v>0.7973294456777037</v>
      </c>
      <c r="D6" s="721">
        <f>D5/D7</f>
        <v>0.82223303658318647</v>
      </c>
      <c r="E6" s="721">
        <f>E5/E7</f>
        <v>0.89574282507334868</v>
      </c>
      <c r="F6" s="721">
        <f>F5/F7</f>
        <v>0.86567056098331763</v>
      </c>
      <c r="G6" s="721">
        <f t="shared" ref="G6:R6" si="1">G5/G7</f>
        <v>0.90210098861395382</v>
      </c>
      <c r="H6" s="721">
        <f t="shared" si="1"/>
        <v>0.85015496937558699</v>
      </c>
      <c r="I6" s="721">
        <f t="shared" si="1"/>
        <v>0.87735961115740613</v>
      </c>
      <c r="J6" s="721">
        <f t="shared" si="1"/>
        <v>0.88158773950327007</v>
      </c>
      <c r="K6" s="721">
        <f t="shared" si="1"/>
        <v>0.87973364566699241</v>
      </c>
      <c r="L6" s="721">
        <f t="shared" si="1"/>
        <v>0.63763883254281284</v>
      </c>
      <c r="M6" s="721">
        <f t="shared" si="1"/>
        <v>0.86618044790777526</v>
      </c>
      <c r="N6" s="721">
        <f t="shared" si="1"/>
        <v>0.932071283444459</v>
      </c>
      <c r="O6" s="721">
        <f t="shared" si="1"/>
        <v>0.87819911094093406</v>
      </c>
      <c r="P6" s="721">
        <f t="shared" si="1"/>
        <v>0.97296507240327768</v>
      </c>
      <c r="Q6" s="721">
        <f t="shared" si="1"/>
        <v>0.9500134391888192</v>
      </c>
      <c r="R6" s="721">
        <f t="shared" si="1"/>
        <v>0.958798378588265</v>
      </c>
      <c r="S6" s="721">
        <f>S5/S7</f>
        <v>0.96115949048033689</v>
      </c>
      <c r="T6" s="721">
        <f>T5/T7</f>
        <v>0.9606089051523885</v>
      </c>
    </row>
    <row r="7" spans="1:21">
      <c r="B7" s="680" t="s">
        <v>651</v>
      </c>
      <c r="C7" s="722">
        <v>42661213.460000001</v>
      </c>
      <c r="D7" s="722">
        <v>48678460.630000003</v>
      </c>
      <c r="E7" s="722">
        <v>94149378.849999994</v>
      </c>
      <c r="F7" s="722">
        <v>53970415.220000006</v>
      </c>
      <c r="G7" s="722">
        <v>88316812.269999996</v>
      </c>
      <c r="H7" s="722">
        <v>64945735</v>
      </c>
      <c r="I7" s="722">
        <v>87129954.909999996</v>
      </c>
      <c r="J7" s="722">
        <v>90517250.030000001</v>
      </c>
      <c r="K7" s="722">
        <v>105101841.16</v>
      </c>
      <c r="L7" s="722">
        <v>138909259.74000001</v>
      </c>
      <c r="M7" s="722">
        <v>102086722.13000001</v>
      </c>
      <c r="N7" s="722">
        <v>90545659.359999999</v>
      </c>
      <c r="O7" s="722">
        <v>151364096.20999998</v>
      </c>
      <c r="P7" s="722">
        <v>197851589.24000004</v>
      </c>
      <c r="Q7" s="722">
        <v>343864206.52000004</v>
      </c>
      <c r="R7" s="873">
        <v>228682948.31999999</v>
      </c>
      <c r="S7" s="873">
        <v>282472997.54000014</v>
      </c>
      <c r="T7" s="873">
        <v>266546067.09</v>
      </c>
      <c r="U7" s="753"/>
    </row>
    <row r="8" spans="1:21">
      <c r="B8" s="680" t="s">
        <v>652</v>
      </c>
      <c r="C8" s="722">
        <f>C5/C4</f>
        <v>382191.47955056169</v>
      </c>
      <c r="D8" s="722">
        <f t="shared" ref="D8:T8" si="2">D5/D4</f>
        <v>425798.28191489354</v>
      </c>
      <c r="E8" s="722">
        <f t="shared" si="2"/>
        <v>611113.26514492731</v>
      </c>
      <c r="F8" s="722">
        <f t="shared" si="2"/>
        <v>409829.82122807007</v>
      </c>
      <c r="G8" s="722">
        <f t="shared" si="2"/>
        <v>545689.61410958879</v>
      </c>
      <c r="H8" s="722">
        <f t="shared" si="2"/>
        <v>386111.4639860139</v>
      </c>
      <c r="I8" s="722">
        <f t="shared" si="2"/>
        <v>439335.07678160875</v>
      </c>
      <c r="J8" s="722">
        <f t="shared" si="2"/>
        <v>440877.88861878455</v>
      </c>
      <c r="K8" s="722">
        <f t="shared" si="2"/>
        <v>464631.28587939678</v>
      </c>
      <c r="L8" s="722">
        <f t="shared" si="2"/>
        <v>553587.1138124998</v>
      </c>
      <c r="M8" s="722">
        <f t="shared" si="2"/>
        <v>542487.86932515341</v>
      </c>
      <c r="N8" s="722">
        <f t="shared" si="2"/>
        <v>530786.2196855346</v>
      </c>
      <c r="O8" s="722">
        <f t="shared" si="2"/>
        <v>1166033.4624561402</v>
      </c>
      <c r="P8" s="722">
        <f t="shared" si="2"/>
        <v>1203141.7865625012</v>
      </c>
      <c r="Q8" s="722">
        <f t="shared" si="2"/>
        <v>1526521.5768691571</v>
      </c>
      <c r="R8" s="722">
        <f>R5/R4</f>
        <v>884116.29056451609</v>
      </c>
      <c r="S8" s="722">
        <f t="shared" si="2"/>
        <v>923474.83806122444</v>
      </c>
      <c r="T8" s="722">
        <f t="shared" si="2"/>
        <v>1118107.0990393013</v>
      </c>
      <c r="U8" s="753"/>
    </row>
    <row r="9" spans="1:21">
      <c r="C9" s="754"/>
      <c r="D9" s="754"/>
      <c r="E9" s="754"/>
      <c r="F9" s="754"/>
      <c r="G9" s="754"/>
      <c r="H9" s="754"/>
      <c r="I9" s="754"/>
      <c r="J9" s="754"/>
      <c r="K9" s="754"/>
      <c r="L9" s="754"/>
      <c r="M9" s="754"/>
      <c r="N9" s="754"/>
      <c r="O9" s="754"/>
      <c r="P9" s="754"/>
      <c r="Q9" s="754"/>
      <c r="R9" s="754"/>
      <c r="S9" s="754"/>
      <c r="U9" s="753"/>
    </row>
    <row r="11" spans="1:21">
      <c r="A11" s="46">
        <v>2</v>
      </c>
      <c r="B11" s="46" t="s">
        <v>81</v>
      </c>
    </row>
    <row r="12" spans="1:21">
      <c r="B12" s="680"/>
      <c r="C12" s="680" t="s">
        <v>115</v>
      </c>
      <c r="D12" s="680" t="s">
        <v>116</v>
      </c>
      <c r="E12" s="680" t="s">
        <v>117</v>
      </c>
      <c r="G12" t="s">
        <v>653</v>
      </c>
    </row>
    <row r="13" spans="1:21">
      <c r="B13" s="680" t="s">
        <v>393</v>
      </c>
      <c r="C13" s="722">
        <v>23044830.730000004</v>
      </c>
      <c r="D13" s="722">
        <v>12217274.859999999</v>
      </c>
      <c r="E13" s="722">
        <v>18208492.07</v>
      </c>
      <c r="M13" s="996"/>
    </row>
    <row r="14" spans="1:21">
      <c r="B14" s="680" t="s">
        <v>654</v>
      </c>
      <c r="C14" s="680">
        <v>30</v>
      </c>
      <c r="D14" s="680">
        <v>30</v>
      </c>
      <c r="E14" s="680">
        <v>30</v>
      </c>
      <c r="F14" t="s">
        <v>655</v>
      </c>
    </row>
    <row r="15" spans="1:21">
      <c r="F15" t="s">
        <v>656</v>
      </c>
    </row>
    <row r="16" spans="1:21">
      <c r="A16" s="46">
        <v>3</v>
      </c>
      <c r="B16" s="768" t="s">
        <v>657</v>
      </c>
    </row>
    <row r="17" spans="1:6">
      <c r="B17" s="680"/>
      <c r="C17" s="680" t="s">
        <v>115</v>
      </c>
      <c r="D17" s="680" t="s">
        <v>116</v>
      </c>
      <c r="E17" s="680" t="s">
        <v>117</v>
      </c>
    </row>
    <row r="18" spans="1:6">
      <c r="B18" s="680" t="s">
        <v>658</v>
      </c>
      <c r="C18" s="680"/>
      <c r="D18" s="680"/>
      <c r="E18" s="680"/>
      <c r="F18" t="s">
        <v>659</v>
      </c>
    </row>
    <row r="19" spans="1:6" hidden="1">
      <c r="B19" s="680" t="s">
        <v>660</v>
      </c>
      <c r="C19" s="722">
        <v>12000000</v>
      </c>
      <c r="D19" s="722">
        <v>25000000</v>
      </c>
      <c r="E19" s="722">
        <v>50000000</v>
      </c>
    </row>
    <row r="20" spans="1:6">
      <c r="B20" s="680" t="s">
        <v>120</v>
      </c>
      <c r="C20" s="680"/>
      <c r="D20" s="680"/>
      <c r="E20" s="680"/>
    </row>
    <row r="22" spans="1:6">
      <c r="A22" s="46">
        <v>4</v>
      </c>
      <c r="B22" s="46" t="s">
        <v>661</v>
      </c>
    </row>
    <row r="23" spans="1:6">
      <c r="B23" s="681" t="s">
        <v>403</v>
      </c>
      <c r="C23" s="680" t="s">
        <v>87</v>
      </c>
      <c r="D23" s="680" t="s">
        <v>662</v>
      </c>
    </row>
    <row r="24" spans="1:6">
      <c r="B24" s="680" t="s">
        <v>293</v>
      </c>
      <c r="C24" s="680" t="s">
        <v>95</v>
      </c>
      <c r="D24" s="680">
        <v>2010</v>
      </c>
    </row>
    <row r="25" spans="1:6">
      <c r="B25" s="680" t="s">
        <v>298</v>
      </c>
      <c r="C25" s="680" t="s">
        <v>95</v>
      </c>
      <c r="D25" s="680">
        <v>224</v>
      </c>
    </row>
    <row r="26" spans="1:6">
      <c r="B26" s="680" t="s">
        <v>300</v>
      </c>
      <c r="C26" s="680" t="s">
        <v>95</v>
      </c>
      <c r="D26" s="680">
        <v>268</v>
      </c>
    </row>
    <row r="27" spans="1:6">
      <c r="B27" s="680" t="s">
        <v>302</v>
      </c>
      <c r="C27" s="680" t="s">
        <v>100</v>
      </c>
      <c r="D27" s="680">
        <v>1868</v>
      </c>
    </row>
    <row r="28" spans="1:6">
      <c r="B28" s="680" t="s">
        <v>303</v>
      </c>
      <c r="C28" s="680" t="s">
        <v>100</v>
      </c>
      <c r="D28" s="680">
        <v>631</v>
      </c>
    </row>
    <row r="29" spans="1:6">
      <c r="B29" s="680" t="s">
        <v>304</v>
      </c>
      <c r="C29" s="680" t="s">
        <v>100</v>
      </c>
      <c r="D29" s="680">
        <v>926</v>
      </c>
    </row>
    <row r="30" spans="1:6">
      <c r="B30" s="680" t="s">
        <v>305</v>
      </c>
      <c r="C30" s="680" t="s">
        <v>102</v>
      </c>
      <c r="D30" s="680">
        <v>1059</v>
      </c>
    </row>
    <row r="31" spans="1:6">
      <c r="B31" s="680" t="s">
        <v>105</v>
      </c>
      <c r="C31" s="680" t="s">
        <v>102</v>
      </c>
      <c r="D31" s="680">
        <v>629</v>
      </c>
    </row>
    <row r="32" spans="1:6">
      <c r="B32" s="680" t="s">
        <v>306</v>
      </c>
      <c r="C32" s="680" t="s">
        <v>102</v>
      </c>
      <c r="D32" s="680">
        <v>984</v>
      </c>
    </row>
    <row r="33" spans="1:10">
      <c r="B33" s="680" t="s">
        <v>108</v>
      </c>
      <c r="C33" s="680" t="s">
        <v>663</v>
      </c>
      <c r="D33" s="680">
        <v>1308</v>
      </c>
    </row>
    <row r="34" spans="1:10">
      <c r="B34" s="680" t="s">
        <v>307</v>
      </c>
      <c r="C34" s="680" t="s">
        <v>663</v>
      </c>
      <c r="D34" s="680">
        <v>428</v>
      </c>
    </row>
    <row r="35" spans="1:10">
      <c r="B35" s="680" t="s">
        <v>308</v>
      </c>
      <c r="C35" s="680" t="s">
        <v>663</v>
      </c>
      <c r="D35" s="680">
        <v>496</v>
      </c>
    </row>
    <row r="37" spans="1:10">
      <c r="B37" t="s">
        <v>664</v>
      </c>
    </row>
    <row r="39" spans="1:10">
      <c r="A39" s="46">
        <v>5</v>
      </c>
      <c r="B39" s="46" t="s">
        <v>665</v>
      </c>
    </row>
    <row r="40" spans="1:10">
      <c r="A40" s="46"/>
      <c r="B40" t="s">
        <v>666</v>
      </c>
    </row>
    <row r="41" spans="1:10">
      <c r="B41" s="787" t="s">
        <v>667</v>
      </c>
      <c r="C41" s="788"/>
      <c r="D41" s="789">
        <v>2022</v>
      </c>
      <c r="E41" s="789">
        <v>2023</v>
      </c>
      <c r="F41" s="789">
        <v>2024</v>
      </c>
      <c r="G41" s="789">
        <v>2025</v>
      </c>
      <c r="H41" s="789">
        <v>2026</v>
      </c>
      <c r="I41" s="789">
        <v>2027</v>
      </c>
      <c r="J41" s="789">
        <v>2028</v>
      </c>
    </row>
    <row r="42" spans="1:10">
      <c r="B42" s="796"/>
      <c r="D42" s="797" t="s">
        <v>668</v>
      </c>
      <c r="E42" s="797" t="s">
        <v>668</v>
      </c>
      <c r="F42" s="797" t="s">
        <v>669</v>
      </c>
      <c r="G42" s="797" t="s">
        <v>670</v>
      </c>
      <c r="H42" s="797" t="s">
        <v>670</v>
      </c>
      <c r="I42" s="797" t="s">
        <v>670</v>
      </c>
      <c r="J42" s="797" t="s">
        <v>670</v>
      </c>
    </row>
    <row r="43" spans="1:10">
      <c r="B43" t="s">
        <v>671</v>
      </c>
      <c r="D43" s="861">
        <f>'Revenue '!J59/10^7</f>
        <v>36.481136377999988</v>
      </c>
      <c r="E43" s="861">
        <f>'Revenue '!P59/10^7</f>
        <v>37.639083032999999</v>
      </c>
      <c r="F43" s="861">
        <f>'Revenue '!W59/10^7</f>
        <v>134.38106372899998</v>
      </c>
      <c r="G43" s="861">
        <f>'Revenue '!AD59/10^7</f>
        <v>276.50399225574</v>
      </c>
      <c r="H43" s="861">
        <f>'Revenue '!AK59/10^7</f>
        <v>407.68248120116482</v>
      </c>
      <c r="I43" s="861">
        <f>'Revenue '!AR59/10^7</f>
        <v>611.06695930321825</v>
      </c>
      <c r="J43" s="861">
        <f>'Revenue '!AY59/10^7</f>
        <v>891.58884869308167</v>
      </c>
    </row>
    <row r="44" spans="1:10">
      <c r="B44" s="624" t="s">
        <v>672</v>
      </c>
      <c r="C44" s="786">
        <v>0.8</v>
      </c>
      <c r="D44" s="862">
        <f t="shared" ref="D44:J44" si="3">D43*$C$44</f>
        <v>29.184909102399992</v>
      </c>
      <c r="E44" s="862">
        <f t="shared" si="3"/>
        <v>30.1112664264</v>
      </c>
      <c r="F44" s="862">
        <f t="shared" si="3"/>
        <v>107.50485098319999</v>
      </c>
      <c r="G44" s="862">
        <f t="shared" si="3"/>
        <v>221.20319380459202</v>
      </c>
      <c r="H44" s="862">
        <f t="shared" si="3"/>
        <v>326.14598496093186</v>
      </c>
      <c r="I44" s="862">
        <f t="shared" si="3"/>
        <v>488.85356744257462</v>
      </c>
      <c r="J44" s="862">
        <f t="shared" si="3"/>
        <v>713.27107895446534</v>
      </c>
    </row>
    <row r="45" spans="1:10">
      <c r="B45" s="792" t="s">
        <v>673</v>
      </c>
      <c r="C45" s="793">
        <v>0.1</v>
      </c>
      <c r="D45" s="863">
        <f>ROUND(('Revenue '!E55*'EBO &amp; Distributor temp'!$C$45),0)</f>
        <v>124</v>
      </c>
      <c r="E45" s="863">
        <f>ROUND(('Revenue '!K55*'EBO &amp; Distributor temp'!$C$45),0)</f>
        <v>109</v>
      </c>
      <c r="F45" s="863">
        <f>'Revenue '!S55</f>
        <v>142</v>
      </c>
      <c r="G45" s="863">
        <f>'Revenue '!Z55</f>
        <v>156</v>
      </c>
      <c r="H45" s="863">
        <f>'Revenue '!AG55</f>
        <v>171</v>
      </c>
      <c r="I45" s="863">
        <f>'Revenue '!AN55</f>
        <v>188</v>
      </c>
      <c r="J45" s="863">
        <f>'Revenue '!AU55</f>
        <v>207</v>
      </c>
    </row>
    <row r="46" spans="1:10" s="833" customFormat="1">
      <c r="B46" s="834" t="s">
        <v>674</v>
      </c>
      <c r="C46" s="834"/>
      <c r="D46" s="864">
        <f t="shared" ref="D46:J46" si="4">D44/D45</f>
        <v>0.23536217018064509</v>
      </c>
      <c r="E46" s="864">
        <f t="shared" si="4"/>
        <v>0.27625015070091741</v>
      </c>
      <c r="F46" s="864">
        <f t="shared" si="4"/>
        <v>0.75707641537464776</v>
      </c>
      <c r="G46" s="864">
        <f t="shared" si="4"/>
        <v>1.4179691910550771</v>
      </c>
      <c r="H46" s="864">
        <f t="shared" si="4"/>
        <v>1.9072864617598355</v>
      </c>
      <c r="I46" s="864">
        <f t="shared" si="4"/>
        <v>2.6002849332051841</v>
      </c>
      <c r="J46" s="864">
        <f t="shared" si="4"/>
        <v>3.4457540046109436</v>
      </c>
    </row>
    <row r="47" spans="1:10">
      <c r="B47" t="s">
        <v>675</v>
      </c>
      <c r="D47" s="785">
        <f t="shared" ref="D47:J47" si="5">D43-D44</f>
        <v>7.2962272755999962</v>
      </c>
      <c r="E47" s="675">
        <f t="shared" si="5"/>
        <v>7.5278166065999983</v>
      </c>
      <c r="F47" s="675">
        <f t="shared" si="5"/>
        <v>26.87621274579999</v>
      </c>
      <c r="G47" s="675">
        <f t="shared" si="5"/>
        <v>55.300798451147983</v>
      </c>
      <c r="H47" s="675">
        <f t="shared" si="5"/>
        <v>81.536496240232964</v>
      </c>
      <c r="I47" s="675">
        <f t="shared" si="5"/>
        <v>122.21339186064364</v>
      </c>
      <c r="J47" s="675">
        <f t="shared" si="5"/>
        <v>178.31776973861633</v>
      </c>
    </row>
    <row r="48" spans="1:10">
      <c r="B48" s="624" t="s">
        <v>676</v>
      </c>
      <c r="C48" s="624"/>
      <c r="D48" s="805">
        <f>'Revenue '!E55-'EBO &amp; Distributor temp'!D45</f>
        <v>1119</v>
      </c>
      <c r="E48" s="805">
        <f>'Revenue '!K55-'EBO &amp; Distributor temp'!E45</f>
        <v>985</v>
      </c>
      <c r="F48" s="805">
        <f>'Revenue '!Q55-'EBO &amp; Distributor temp'!F45</f>
        <v>1270</v>
      </c>
      <c r="G48" s="805">
        <f>'Revenue '!X55-'EBO &amp; Distributor temp'!G45</f>
        <v>1397</v>
      </c>
      <c r="H48" s="805">
        <f>'Revenue '!AE55-'EBO &amp; Distributor temp'!H45</f>
        <v>1537</v>
      </c>
      <c r="I48" s="805">
        <f>'Revenue '!AL55-'EBO &amp; Distributor temp'!I45</f>
        <v>1691</v>
      </c>
      <c r="J48" s="805">
        <f>'Revenue '!AS55-'EBO &amp; Distributor temp'!J45</f>
        <v>1860</v>
      </c>
    </row>
    <row r="49" spans="2:10">
      <c r="B49" s="794" t="s">
        <v>677</v>
      </c>
      <c r="C49" s="794"/>
      <c r="D49" s="795">
        <f t="shared" ref="D49:J49" si="6">D47/D48</f>
        <v>6.5203103445933839E-3</v>
      </c>
      <c r="E49" s="795">
        <f t="shared" si="6"/>
        <v>7.642453407715734E-3</v>
      </c>
      <c r="F49" s="795">
        <f t="shared" si="6"/>
        <v>2.1162372240787392E-2</v>
      </c>
      <c r="G49" s="795">
        <f t="shared" si="6"/>
        <v>3.9585396171186817E-2</v>
      </c>
      <c r="H49" s="795">
        <f t="shared" si="6"/>
        <v>5.3049119219409864E-2</v>
      </c>
      <c r="I49" s="795">
        <f t="shared" si="6"/>
        <v>7.2272851484709424E-2</v>
      </c>
      <c r="J49" s="795">
        <f t="shared" si="6"/>
        <v>9.5869768676675446E-2</v>
      </c>
    </row>
    <row r="85" spans="1:21">
      <c r="A85" s="46">
        <v>6</v>
      </c>
      <c r="B85" s="46" t="s">
        <v>678</v>
      </c>
    </row>
    <row r="86" spans="1:21">
      <c r="B86" t="s">
        <v>666</v>
      </c>
    </row>
    <row r="87" spans="1:21">
      <c r="B87" s="787" t="s">
        <v>667</v>
      </c>
      <c r="C87" s="788"/>
      <c r="D87" s="799">
        <v>44957</v>
      </c>
      <c r="E87" s="799">
        <f t="shared" ref="E87:U87" si="7">EOMONTH(D87,1)</f>
        <v>44985</v>
      </c>
      <c r="F87" s="799">
        <f t="shared" si="7"/>
        <v>45016</v>
      </c>
      <c r="G87" s="799">
        <f t="shared" si="7"/>
        <v>45046</v>
      </c>
      <c r="H87" s="799">
        <f t="shared" si="7"/>
        <v>45077</v>
      </c>
      <c r="I87" s="799">
        <f t="shared" si="7"/>
        <v>45107</v>
      </c>
      <c r="J87" s="799">
        <f t="shared" si="7"/>
        <v>45138</v>
      </c>
      <c r="K87" s="799">
        <f t="shared" si="7"/>
        <v>45169</v>
      </c>
      <c r="L87" s="799">
        <f t="shared" si="7"/>
        <v>45199</v>
      </c>
      <c r="M87" s="799">
        <f t="shared" si="7"/>
        <v>45230</v>
      </c>
      <c r="N87" s="799">
        <f t="shared" si="7"/>
        <v>45260</v>
      </c>
      <c r="O87" s="799">
        <f t="shared" si="7"/>
        <v>45291</v>
      </c>
      <c r="P87" s="799">
        <f t="shared" si="7"/>
        <v>45322</v>
      </c>
      <c r="Q87" s="799">
        <f t="shared" si="7"/>
        <v>45351</v>
      </c>
      <c r="R87" s="799">
        <f t="shared" si="7"/>
        <v>45382</v>
      </c>
      <c r="S87" s="799">
        <f t="shared" si="7"/>
        <v>45412</v>
      </c>
      <c r="T87" s="799">
        <f t="shared" si="7"/>
        <v>45443</v>
      </c>
      <c r="U87" s="799">
        <f t="shared" si="7"/>
        <v>45473</v>
      </c>
    </row>
    <row r="88" spans="1:21">
      <c r="B88" t="s">
        <v>679</v>
      </c>
      <c r="D88" s="784">
        <f>C5/10^7</f>
        <v>3.4015041679999993</v>
      </c>
      <c r="E88" s="784">
        <f t="shared" ref="E88:T88" si="8">D5/10^7</f>
        <v>4.0025038499999992</v>
      </c>
      <c r="F88" s="784">
        <f t="shared" si="8"/>
        <v>8.4333630589999977</v>
      </c>
      <c r="G88" s="784">
        <f t="shared" si="8"/>
        <v>4.6720599619999987</v>
      </c>
      <c r="H88" s="784">
        <f t="shared" si="8"/>
        <v>7.9670683659999968</v>
      </c>
      <c r="I88" s="784">
        <f t="shared" si="8"/>
        <v>5.521393934999999</v>
      </c>
      <c r="J88" s="784">
        <f t="shared" si="8"/>
        <v>7.6444303359999921</v>
      </c>
      <c r="K88" s="784">
        <f t="shared" si="8"/>
        <v>7.979889784</v>
      </c>
      <c r="L88" s="784">
        <f t="shared" si="8"/>
        <v>9.2461625889999954</v>
      </c>
      <c r="M88" s="784">
        <f t="shared" si="8"/>
        <v>8.8573938209999969</v>
      </c>
      <c r="N88" s="784">
        <f t="shared" si="8"/>
        <v>8.8425522700000005</v>
      </c>
      <c r="O88" s="784">
        <f t="shared" si="8"/>
        <v>8.4395008929999999</v>
      </c>
      <c r="P88" s="784">
        <f t="shared" si="8"/>
        <v>13.292781471999998</v>
      </c>
      <c r="Q88" s="784">
        <f t="shared" si="8"/>
        <v>19.250268585000022</v>
      </c>
      <c r="R88" s="861">
        <f t="shared" si="8"/>
        <v>32.667561744999965</v>
      </c>
      <c r="S88" s="861">
        <f t="shared" si="8"/>
        <v>21.926084006</v>
      </c>
      <c r="T88" s="861">
        <f t="shared" si="8"/>
        <v>27.150160238999998</v>
      </c>
      <c r="U88" s="861">
        <f>T5/10^7</f>
        <v>25.604652568000002</v>
      </c>
    </row>
    <row r="89" spans="1:21">
      <c r="B89" t="s">
        <v>680</v>
      </c>
      <c r="C89" s="625">
        <v>0.8</v>
      </c>
      <c r="D89" s="802">
        <f t="shared" ref="D89:T89" si="9">D88*$C$89</f>
        <v>2.7212033343999997</v>
      </c>
      <c r="E89" s="802">
        <f t="shared" si="9"/>
        <v>3.2020030799999994</v>
      </c>
      <c r="F89" s="802">
        <f t="shared" si="9"/>
        <v>6.7466904471999989</v>
      </c>
      <c r="G89" s="802">
        <f t="shared" si="9"/>
        <v>3.7376479695999993</v>
      </c>
      <c r="H89" s="802">
        <f t="shared" si="9"/>
        <v>6.373654692799998</v>
      </c>
      <c r="I89" s="802">
        <f t="shared" si="9"/>
        <v>4.4171151479999997</v>
      </c>
      <c r="J89" s="802">
        <f t="shared" si="9"/>
        <v>6.1155442687999937</v>
      </c>
      <c r="K89" s="802">
        <f t="shared" si="9"/>
        <v>6.3839118272000004</v>
      </c>
      <c r="L89" s="802">
        <f t="shared" si="9"/>
        <v>7.3969300711999963</v>
      </c>
      <c r="M89" s="802">
        <f t="shared" si="9"/>
        <v>7.0859150567999976</v>
      </c>
      <c r="N89" s="802">
        <f t="shared" si="9"/>
        <v>7.0740418160000011</v>
      </c>
      <c r="O89" s="802">
        <f t="shared" si="9"/>
        <v>6.7516007144000003</v>
      </c>
      <c r="P89" s="802">
        <f t="shared" si="9"/>
        <v>10.634225177599999</v>
      </c>
      <c r="Q89" s="802">
        <f t="shared" si="9"/>
        <v>15.400214868000019</v>
      </c>
      <c r="R89" s="874">
        <f t="shared" si="9"/>
        <v>26.134049395999973</v>
      </c>
      <c r="S89" s="874">
        <f t="shared" si="9"/>
        <v>17.540867204800001</v>
      </c>
      <c r="T89" s="874">
        <f t="shared" si="9"/>
        <v>21.720128191200001</v>
      </c>
      <c r="U89" s="874">
        <f>U88*$C$89</f>
        <v>20.483722054400005</v>
      </c>
    </row>
    <row r="90" spans="1:21">
      <c r="B90" s="792" t="s">
        <v>681</v>
      </c>
      <c r="C90" s="793"/>
      <c r="D90" s="803">
        <f t="shared" ref="D90:T90" si="10">C4</f>
        <v>89</v>
      </c>
      <c r="E90" s="803">
        <f t="shared" si="10"/>
        <v>94</v>
      </c>
      <c r="F90" s="803">
        <f t="shared" si="10"/>
        <v>138</v>
      </c>
      <c r="G90" s="803">
        <f t="shared" si="10"/>
        <v>114</v>
      </c>
      <c r="H90" s="803">
        <f t="shared" si="10"/>
        <v>146</v>
      </c>
      <c r="I90" s="803">
        <f t="shared" si="10"/>
        <v>143</v>
      </c>
      <c r="J90" s="803">
        <f t="shared" si="10"/>
        <v>174</v>
      </c>
      <c r="K90" s="803">
        <f t="shared" si="10"/>
        <v>181</v>
      </c>
      <c r="L90" s="803">
        <f t="shared" si="10"/>
        <v>199</v>
      </c>
      <c r="M90" s="803">
        <f t="shared" si="10"/>
        <v>160</v>
      </c>
      <c r="N90" s="803">
        <f t="shared" si="10"/>
        <v>163</v>
      </c>
      <c r="O90" s="803">
        <f t="shared" si="10"/>
        <v>159</v>
      </c>
      <c r="P90" s="803">
        <f t="shared" si="10"/>
        <v>114</v>
      </c>
      <c r="Q90" s="803">
        <f t="shared" si="10"/>
        <v>160</v>
      </c>
      <c r="R90" s="863">
        <f t="shared" si="10"/>
        <v>214</v>
      </c>
      <c r="S90" s="863">
        <f t="shared" si="10"/>
        <v>248</v>
      </c>
      <c r="T90" s="863">
        <f t="shared" si="10"/>
        <v>294</v>
      </c>
      <c r="U90" s="863">
        <f>T4</f>
        <v>229</v>
      </c>
    </row>
    <row r="91" spans="1:21">
      <c r="B91" s="624" t="s">
        <v>682</v>
      </c>
      <c r="C91" s="786">
        <v>0.8</v>
      </c>
      <c r="D91" s="624">
        <f>ROUND(D90*$C$91,0)</f>
        <v>71</v>
      </c>
      <c r="E91" s="624">
        <f t="shared" ref="E91:T91" si="11">ROUND(E90*$C$91,0)</f>
        <v>75</v>
      </c>
      <c r="F91" s="624">
        <f t="shared" si="11"/>
        <v>110</v>
      </c>
      <c r="G91" s="624">
        <f t="shared" si="11"/>
        <v>91</v>
      </c>
      <c r="H91" s="624">
        <f t="shared" si="11"/>
        <v>117</v>
      </c>
      <c r="I91" s="624">
        <f t="shared" si="11"/>
        <v>114</v>
      </c>
      <c r="J91" s="624">
        <f t="shared" si="11"/>
        <v>139</v>
      </c>
      <c r="K91" s="624">
        <f t="shared" si="11"/>
        <v>145</v>
      </c>
      <c r="L91" s="624">
        <f t="shared" si="11"/>
        <v>159</v>
      </c>
      <c r="M91" s="624">
        <f t="shared" si="11"/>
        <v>128</v>
      </c>
      <c r="N91" s="624">
        <f t="shared" si="11"/>
        <v>130</v>
      </c>
      <c r="O91" s="624">
        <f t="shared" si="11"/>
        <v>127</v>
      </c>
      <c r="P91" s="624">
        <f t="shared" si="11"/>
        <v>91</v>
      </c>
      <c r="Q91" s="624">
        <f t="shared" si="11"/>
        <v>128</v>
      </c>
      <c r="R91" s="875">
        <f t="shared" si="11"/>
        <v>171</v>
      </c>
      <c r="S91" s="875">
        <f t="shared" si="11"/>
        <v>198</v>
      </c>
      <c r="T91" s="875">
        <f t="shared" si="11"/>
        <v>235</v>
      </c>
      <c r="U91" s="875">
        <f>ROUND(U90*$C$91,0)</f>
        <v>183</v>
      </c>
    </row>
    <row r="92" spans="1:21" s="833" customFormat="1">
      <c r="B92" s="835" t="s">
        <v>683</v>
      </c>
      <c r="C92" s="835"/>
      <c r="D92" s="865">
        <f>D89/D91</f>
        <v>3.8326807526760556E-2</v>
      </c>
      <c r="E92" s="865">
        <f t="shared" ref="E92:T92" si="12">E89/E91</f>
        <v>4.2693374399999991E-2</v>
      </c>
      <c r="F92" s="865">
        <f t="shared" si="12"/>
        <v>6.1333549519999989E-2</v>
      </c>
      <c r="G92" s="865">
        <f t="shared" si="12"/>
        <v>4.1073054610989007E-2</v>
      </c>
      <c r="H92" s="865">
        <f t="shared" si="12"/>
        <v>5.4475681135042718E-2</v>
      </c>
      <c r="I92" s="865">
        <f t="shared" si="12"/>
        <v>3.8746624105263153E-2</v>
      </c>
      <c r="J92" s="865">
        <f t="shared" si="12"/>
        <v>4.3996721358273337E-2</v>
      </c>
      <c r="K92" s="866">
        <f t="shared" si="12"/>
        <v>4.4026978118620691E-2</v>
      </c>
      <c r="L92" s="866">
        <f t="shared" si="12"/>
        <v>4.6521572774842743E-2</v>
      </c>
      <c r="M92" s="866">
        <f t="shared" si="12"/>
        <v>5.5358711381249981E-2</v>
      </c>
      <c r="N92" s="866">
        <f t="shared" si="12"/>
        <v>5.4415706276923083E-2</v>
      </c>
      <c r="O92" s="866">
        <f t="shared" si="12"/>
        <v>5.3162210349606304E-2</v>
      </c>
      <c r="P92" s="866">
        <f t="shared" si="12"/>
        <v>0.11685961733626372</v>
      </c>
      <c r="Q92" s="866">
        <f t="shared" si="12"/>
        <v>0.12031417865625015</v>
      </c>
      <c r="R92" s="866">
        <f t="shared" si="12"/>
        <v>0.15283069822222206</v>
      </c>
      <c r="S92" s="866">
        <f t="shared" si="12"/>
        <v>8.8590238408080821E-2</v>
      </c>
      <c r="T92" s="866">
        <f t="shared" si="12"/>
        <v>9.2426077409361707E-2</v>
      </c>
      <c r="U92" s="866">
        <f>U89/U91</f>
        <v>0.11193290740109292</v>
      </c>
    </row>
    <row r="93" spans="1:21">
      <c r="B93" t="s">
        <v>684</v>
      </c>
      <c r="D93" s="785">
        <f t="shared" ref="D93:U93" si="13">D88-D89</f>
        <v>0.6803008335999996</v>
      </c>
      <c r="E93" s="675">
        <f t="shared" si="13"/>
        <v>0.80050076999999975</v>
      </c>
      <c r="F93" s="675">
        <f t="shared" si="13"/>
        <v>1.6866726117999988</v>
      </c>
      <c r="G93" s="675">
        <f t="shared" si="13"/>
        <v>0.93441199239999939</v>
      </c>
      <c r="H93" s="675">
        <f t="shared" si="13"/>
        <v>1.5934136731999988</v>
      </c>
      <c r="I93" s="675">
        <f t="shared" si="13"/>
        <v>1.1042787869999993</v>
      </c>
      <c r="J93" s="675">
        <f t="shared" si="13"/>
        <v>1.5288860671999984</v>
      </c>
      <c r="K93" s="675">
        <f t="shared" si="13"/>
        <v>1.5959779567999997</v>
      </c>
      <c r="L93" s="675">
        <f t="shared" si="13"/>
        <v>1.8492325177999991</v>
      </c>
      <c r="M93" s="675">
        <f t="shared" si="13"/>
        <v>1.7714787641999994</v>
      </c>
      <c r="N93" s="675">
        <f t="shared" si="13"/>
        <v>1.7685104539999994</v>
      </c>
      <c r="O93" s="675">
        <f t="shared" si="13"/>
        <v>1.6879001785999996</v>
      </c>
      <c r="P93" s="675">
        <f t="shared" si="13"/>
        <v>2.6585562943999985</v>
      </c>
      <c r="Q93" s="675">
        <f t="shared" si="13"/>
        <v>3.8500537170000033</v>
      </c>
      <c r="R93" s="675">
        <f t="shared" si="13"/>
        <v>6.5335123489999916</v>
      </c>
      <c r="S93" s="675">
        <f t="shared" si="13"/>
        <v>4.3852168011999986</v>
      </c>
      <c r="T93" s="675">
        <f t="shared" si="13"/>
        <v>5.4300320477999975</v>
      </c>
      <c r="U93" s="675">
        <f t="shared" si="13"/>
        <v>5.1209305135999976</v>
      </c>
    </row>
    <row r="94" spans="1:21">
      <c r="B94" t="s">
        <v>685</v>
      </c>
      <c r="C94" s="46"/>
      <c r="D94" s="675">
        <f t="shared" ref="D94:U94" si="14">D90-D91</f>
        <v>18</v>
      </c>
      <c r="E94" s="675">
        <f t="shared" si="14"/>
        <v>19</v>
      </c>
      <c r="F94" s="675">
        <f t="shared" si="14"/>
        <v>28</v>
      </c>
      <c r="G94" s="675">
        <f t="shared" si="14"/>
        <v>23</v>
      </c>
      <c r="H94" s="675">
        <f t="shared" si="14"/>
        <v>29</v>
      </c>
      <c r="I94" s="675">
        <f t="shared" si="14"/>
        <v>29</v>
      </c>
      <c r="J94" s="675">
        <f t="shared" si="14"/>
        <v>35</v>
      </c>
      <c r="K94" s="675">
        <f t="shared" si="14"/>
        <v>36</v>
      </c>
      <c r="L94" s="675">
        <f t="shared" si="14"/>
        <v>40</v>
      </c>
      <c r="M94" s="675">
        <f t="shared" si="14"/>
        <v>32</v>
      </c>
      <c r="N94" s="675">
        <f t="shared" si="14"/>
        <v>33</v>
      </c>
      <c r="O94" s="675">
        <f t="shared" si="14"/>
        <v>32</v>
      </c>
      <c r="P94" s="675">
        <f t="shared" si="14"/>
        <v>23</v>
      </c>
      <c r="Q94" s="675">
        <f t="shared" si="14"/>
        <v>32</v>
      </c>
      <c r="R94" s="675">
        <f t="shared" si="14"/>
        <v>43</v>
      </c>
      <c r="S94" s="675">
        <f t="shared" si="14"/>
        <v>50</v>
      </c>
      <c r="T94" s="675">
        <f t="shared" si="14"/>
        <v>59</v>
      </c>
      <c r="U94" s="675">
        <f t="shared" si="14"/>
        <v>46</v>
      </c>
    </row>
    <row r="95" spans="1:21">
      <c r="B95" s="794" t="s">
        <v>686</v>
      </c>
      <c r="C95" s="794"/>
      <c r="D95" s="804">
        <f t="shared" ref="D95:U95" si="15">D93/D94</f>
        <v>3.7794490755555535E-2</v>
      </c>
      <c r="E95" s="804">
        <f t="shared" si="15"/>
        <v>4.2131619473684198E-2</v>
      </c>
      <c r="F95" s="804">
        <f t="shared" si="15"/>
        <v>6.0238307564285672E-2</v>
      </c>
      <c r="G95" s="804">
        <f t="shared" si="15"/>
        <v>4.0626608365217365E-2</v>
      </c>
      <c r="H95" s="804">
        <f t="shared" si="15"/>
        <v>5.4945299075862028E-2</v>
      </c>
      <c r="I95" s="804">
        <f t="shared" si="15"/>
        <v>3.8078578862068939E-2</v>
      </c>
      <c r="J95" s="804">
        <f t="shared" si="15"/>
        <v>4.3682459062857094E-2</v>
      </c>
      <c r="K95" s="804">
        <f t="shared" si="15"/>
        <v>4.4332721022222216E-2</v>
      </c>
      <c r="L95" s="804">
        <f t="shared" si="15"/>
        <v>4.6230812944999977E-2</v>
      </c>
      <c r="M95" s="804">
        <f t="shared" si="15"/>
        <v>5.5358711381249981E-2</v>
      </c>
      <c r="N95" s="804">
        <f t="shared" si="15"/>
        <v>5.3591225878787861E-2</v>
      </c>
      <c r="O95" s="804">
        <f t="shared" si="15"/>
        <v>5.2746880581249989E-2</v>
      </c>
      <c r="P95" s="804">
        <f t="shared" si="15"/>
        <v>0.11558940410434776</v>
      </c>
      <c r="Q95" s="804">
        <f t="shared" si="15"/>
        <v>0.1203141786562501</v>
      </c>
      <c r="R95" s="804">
        <f t="shared" si="15"/>
        <v>0.1519421476511626</v>
      </c>
      <c r="S95" s="804">
        <f t="shared" si="15"/>
        <v>8.7704336023999976E-2</v>
      </c>
      <c r="T95" s="804">
        <f t="shared" si="15"/>
        <v>9.2034441488135554E-2</v>
      </c>
      <c r="U95" s="795">
        <f t="shared" si="15"/>
        <v>0.11132457638260865</v>
      </c>
    </row>
    <row r="96" spans="1:21">
      <c r="C96" s="46"/>
      <c r="D96" s="675"/>
      <c r="E96" s="675"/>
      <c r="F96" s="675"/>
      <c r="G96" s="675"/>
      <c r="H96" s="675"/>
      <c r="I96" s="675"/>
      <c r="J96" s="675"/>
      <c r="K96" s="675"/>
      <c r="L96" s="675"/>
      <c r="M96" s="675"/>
      <c r="N96" s="675"/>
      <c r="O96" s="675"/>
      <c r="P96" s="675"/>
      <c r="Q96" s="675"/>
      <c r="R96" s="675"/>
      <c r="S96" s="675"/>
      <c r="T96" s="675"/>
      <c r="U96" s="675"/>
    </row>
  </sheetData>
  <pageMargins left="0.7" right="0.7" top="0.75" bottom="0.75" header="0.3" footer="0.3"/>
  <customProperties>
    <customPr name="OrphanNamesChecke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26B7-87B3-49DD-910C-EE8678D0FAFC}">
  <dimension ref="A1:AA53"/>
  <sheetViews>
    <sheetView showGridLines="0" topLeftCell="A2" zoomScale="80" zoomScaleNormal="80" workbookViewId="0">
      <pane xSplit="2" ySplit="3" topLeftCell="C5" activePane="bottomRight" state="frozen"/>
      <selection pane="topRight" activeCell="E5" sqref="E5"/>
      <selection pane="bottomLeft" activeCell="E5" sqref="E5"/>
      <selection pane="bottomRight" activeCell="B10" sqref="B10"/>
    </sheetView>
  </sheetViews>
  <sheetFormatPr defaultColWidth="9" defaultRowHeight="11.5" outlineLevelRow="1"/>
  <cols>
    <col min="1" max="1" width="9" style="39"/>
    <col min="2" max="2" width="42.54296875" style="39" bestFit="1" customWidth="1"/>
    <col min="3" max="3" width="11.81640625" style="39" customWidth="1"/>
    <col min="4" max="4" width="10.453125" style="39" bestFit="1" customWidth="1"/>
    <col min="5" max="5" width="13.54296875" style="39" customWidth="1"/>
    <col min="6" max="9" width="14.453125" style="39" bestFit="1" customWidth="1"/>
    <col min="10" max="10" width="17.54296875" style="39" customWidth="1"/>
    <col min="11" max="17" width="11.1796875" style="39" customWidth="1"/>
    <col min="18" max="18" width="10.54296875" style="39" customWidth="1"/>
    <col min="19" max="19" width="10.453125" style="39" customWidth="1"/>
    <col min="20" max="20" width="10.81640625" style="39" customWidth="1"/>
    <col min="21" max="21" width="10.54296875" style="39" customWidth="1"/>
    <col min="22" max="22" width="9.54296875" style="39" customWidth="1"/>
    <col min="23" max="23" width="34.1796875" style="39" bestFit="1" customWidth="1"/>
    <col min="24" max="24" width="9.54296875" style="39" bestFit="1" customWidth="1"/>
    <col min="25" max="25" width="9" style="39" bestFit="1" customWidth="1"/>
    <col min="26" max="28" width="9.54296875" style="39" bestFit="1" customWidth="1"/>
    <col min="29" max="29" width="0.54296875" style="39" customWidth="1"/>
    <col min="30" max="30" width="10" style="39" customWidth="1"/>
    <col min="31" max="31" width="11" style="39" customWidth="1"/>
    <col min="32" max="32" width="10.453125" style="39" customWidth="1"/>
    <col min="33" max="33" width="10.1796875" style="39" customWidth="1"/>
    <col min="34" max="34" width="10.453125" style="39" customWidth="1"/>
    <col min="35" max="16384" width="9" style="39"/>
  </cols>
  <sheetData>
    <row r="1" spans="1:27" hidden="1" outlineLevel="1">
      <c r="Z1" s="263" t="s">
        <v>145</v>
      </c>
      <c r="AA1" s="26">
        <v>72</v>
      </c>
    </row>
    <row r="2" spans="1:27" ht="12" collapsed="1">
      <c r="B2" s="264" t="s">
        <v>146</v>
      </c>
      <c r="C2" s="265"/>
      <c r="D2" s="265"/>
      <c r="E2" s="658"/>
      <c r="F2" s="266"/>
      <c r="G2" s="270"/>
      <c r="H2" s="270"/>
      <c r="I2" s="4" t="s">
        <v>147</v>
      </c>
      <c r="J2" s="270"/>
      <c r="K2" s="4"/>
      <c r="L2" s="4"/>
      <c r="M2" s="4"/>
      <c r="N2" s="267">
        <v>100000</v>
      </c>
      <c r="O2" s="4"/>
      <c r="P2" s="4"/>
      <c r="Q2" s="4"/>
    </row>
    <row r="3" spans="1:27">
      <c r="B3" s="465" t="str">
        <f>'Balance Sheet'!B3</f>
        <v xml:space="preserve">Loom Solar Private Limited </v>
      </c>
      <c r="C3" s="465"/>
      <c r="D3" s="465"/>
      <c r="E3" s="465"/>
      <c r="F3" s="465"/>
      <c r="G3" s="465"/>
      <c r="H3" s="465"/>
      <c r="I3" s="465"/>
      <c r="J3" s="579"/>
      <c r="K3" s="1020" t="s">
        <v>148</v>
      </c>
      <c r="L3" s="1020"/>
      <c r="M3" s="1020"/>
      <c r="N3" s="1020"/>
      <c r="O3" s="1020"/>
      <c r="P3" s="1020"/>
      <c r="Q3" s="1020"/>
    </row>
    <row r="4" spans="1:27" ht="25.5" customHeight="1">
      <c r="B4" s="6" t="s">
        <v>149</v>
      </c>
      <c r="C4" s="16" t="str">
        <f>'Balance Sheet'!C4</f>
        <v>2022
Historical</v>
      </c>
      <c r="D4" s="16" t="str">
        <f>'Balance Sheet'!D4</f>
        <v>2023
Historical</v>
      </c>
      <c r="E4" s="459" t="str">
        <f>'Balance Sheet'!E4</f>
        <v>2024
Provisional</v>
      </c>
      <c r="F4" s="7" t="str">
        <f>'Balance Sheet'!F4</f>
        <v>2025
Forecasted</v>
      </c>
      <c r="G4" s="7" t="str">
        <f>'Balance Sheet'!G4</f>
        <v>2026
Forecasted</v>
      </c>
      <c r="H4" s="7" t="str">
        <f>'Balance Sheet'!H4</f>
        <v>2027
Forecasted</v>
      </c>
      <c r="I4" s="7" t="str">
        <f>'Balance Sheet'!I4</f>
        <v>2028
Forecasted</v>
      </c>
      <c r="J4" s="7"/>
      <c r="K4" s="7" t="str">
        <f t="shared" ref="K4:Q4" si="0">C4</f>
        <v>2022
Historical</v>
      </c>
      <c r="L4" s="7" t="str">
        <f t="shared" si="0"/>
        <v>2023
Historical</v>
      </c>
      <c r="M4" s="459" t="str">
        <f t="shared" si="0"/>
        <v>2024
Provisional</v>
      </c>
      <c r="N4" s="18" t="str">
        <f t="shared" si="0"/>
        <v>2025
Forecasted</v>
      </c>
      <c r="O4" s="18" t="str">
        <f t="shared" si="0"/>
        <v>2026
Forecasted</v>
      </c>
      <c r="P4" s="18" t="str">
        <f t="shared" si="0"/>
        <v>2027
Forecasted</v>
      </c>
      <c r="Q4" s="18" t="str">
        <f t="shared" si="0"/>
        <v>2028
Forecasted</v>
      </c>
    </row>
    <row r="5" spans="1:27">
      <c r="B5" s="19" t="s">
        <v>150</v>
      </c>
      <c r="C5" s="9">
        <v>50.106043</v>
      </c>
      <c r="D5" s="9">
        <v>51.9249182</v>
      </c>
      <c r="E5" s="460">
        <v>151.405010527</v>
      </c>
      <c r="F5" s="10">
        <f>('Revenue '!AD99-'Revenue '!AD74)/10^7</f>
        <v>301.83099225574</v>
      </c>
      <c r="G5" s="10">
        <f>('Revenue '!AK99-'Revenue '!AK74)/10^7</f>
        <v>441.49048120116481</v>
      </c>
      <c r="H5" s="10">
        <f>('Revenue '!AR99-'Revenue '!AR74)/10^7</f>
        <v>655.55195930321827</v>
      </c>
      <c r="I5" s="10">
        <f>('Revenue '!AY99-'Revenue '!AY74)/10^7</f>
        <v>949.38884869308163</v>
      </c>
      <c r="J5" s="10"/>
      <c r="K5" s="730">
        <f t="shared" ref="K5:Q10" si="1">C5/C$10</f>
        <v>0.96013211280831745</v>
      </c>
      <c r="L5" s="730">
        <f t="shared" si="1"/>
        <v>0.9663215123314105</v>
      </c>
      <c r="M5" s="731">
        <f t="shared" si="1"/>
        <v>0.99511712332542135</v>
      </c>
      <c r="N5" s="730">
        <f t="shared" si="1"/>
        <v>0.9964921662988292</v>
      </c>
      <c r="O5" s="730">
        <f t="shared" si="1"/>
        <v>0.99708884432380829</v>
      </c>
      <c r="P5" s="730">
        <f t="shared" si="1"/>
        <v>0.99758953991548494</v>
      </c>
      <c r="Q5" s="730">
        <f t="shared" si="1"/>
        <v>0.99782072301352953</v>
      </c>
      <c r="V5" s="58"/>
    </row>
    <row r="6" spans="1:27">
      <c r="B6" s="19" t="s">
        <v>151</v>
      </c>
      <c r="C6" s="9">
        <v>1.4371970000000001</v>
      </c>
      <c r="D6" s="9">
        <v>0.95658609999999999</v>
      </c>
      <c r="E6" s="460">
        <v>5.5343662000000002E-2</v>
      </c>
      <c r="F6" s="10">
        <f>'Revenue '!AD74/10^7</f>
        <v>1.0625</v>
      </c>
      <c r="G6" s="10">
        <f>'Revenue '!AK74/10^7</f>
        <v>1.2889999999999999</v>
      </c>
      <c r="H6" s="10">
        <f>'Revenue '!AR74/10^7</f>
        <v>1.5840000000000001</v>
      </c>
      <c r="I6" s="10">
        <f>'Revenue '!AY74/10^7</f>
        <v>2.0735000000000001</v>
      </c>
      <c r="J6" s="10"/>
      <c r="K6" s="730">
        <f t="shared" si="1"/>
        <v>2.753957226540071E-2</v>
      </c>
      <c r="L6" s="730">
        <f t="shared" si="1"/>
        <v>1.7802044930851829E-2</v>
      </c>
      <c r="M6" s="731">
        <f t="shared" si="1"/>
        <v>3.6374903004886494E-4</v>
      </c>
      <c r="N6" s="730">
        <f t="shared" si="1"/>
        <v>3.5078337011707952E-3</v>
      </c>
      <c r="O6" s="730">
        <f t="shared" si="1"/>
        <v>2.9111556761917293E-3</v>
      </c>
      <c r="P6" s="730">
        <f t="shared" si="1"/>
        <v>2.4104600845151814E-3</v>
      </c>
      <c r="Q6" s="730">
        <f t="shared" si="1"/>
        <v>2.1792769864704973E-3</v>
      </c>
    </row>
    <row r="7" spans="1:27" ht="23">
      <c r="B7" s="251" t="s">
        <v>152</v>
      </c>
      <c r="C7" s="9">
        <f>((4300.15+2006.76)*1000)/10^7</f>
        <v>0.630691</v>
      </c>
      <c r="D7" s="9">
        <f>0.3723656</f>
        <v>0.37236560000000002</v>
      </c>
      <c r="E7" s="460">
        <v>0</v>
      </c>
      <c r="F7" s="10">
        <v>0</v>
      </c>
      <c r="G7" s="10">
        <v>0</v>
      </c>
      <c r="H7" s="10">
        <v>0</v>
      </c>
      <c r="I7" s="10">
        <v>0</v>
      </c>
      <c r="J7" s="10"/>
      <c r="K7" s="730">
        <f t="shared" si="1"/>
        <v>1.2085302412708793E-2</v>
      </c>
      <c r="L7" s="730">
        <f t="shared" si="1"/>
        <v>6.9297151002963558E-3</v>
      </c>
      <c r="M7" s="731">
        <f t="shared" si="1"/>
        <v>0</v>
      </c>
      <c r="N7" s="730">
        <f t="shared" si="1"/>
        <v>0</v>
      </c>
      <c r="O7" s="730">
        <f t="shared" si="1"/>
        <v>0</v>
      </c>
      <c r="P7" s="730">
        <f t="shared" si="1"/>
        <v>0</v>
      </c>
      <c r="Q7" s="730">
        <f t="shared" si="1"/>
        <v>0</v>
      </c>
    </row>
    <row r="8" spans="1:27">
      <c r="B8" s="20" t="s">
        <v>153</v>
      </c>
      <c r="C8" s="21">
        <f t="shared" ref="C8:I8" si="2">SUM(C5:C7)</f>
        <v>52.173930999999996</v>
      </c>
      <c r="D8" s="21">
        <f t="shared" si="2"/>
        <v>53.253869900000005</v>
      </c>
      <c r="E8" s="455">
        <f t="shared" si="2"/>
        <v>151.46035418900001</v>
      </c>
      <c r="F8" s="22">
        <f>SUM(F5:F7)</f>
        <v>302.89349225574</v>
      </c>
      <c r="G8" s="22">
        <f t="shared" si="2"/>
        <v>442.7794812011648</v>
      </c>
      <c r="H8" s="22">
        <f t="shared" si="2"/>
        <v>657.13595930321821</v>
      </c>
      <c r="I8" s="22">
        <f t="shared" si="2"/>
        <v>951.46234869308159</v>
      </c>
      <c r="J8" s="22"/>
      <c r="K8" s="730">
        <f t="shared" si="1"/>
        <v>0.99975698748642683</v>
      </c>
      <c r="L8" s="730">
        <f t="shared" si="1"/>
        <v>0.9910532723625588</v>
      </c>
      <c r="M8" s="731">
        <f t="shared" si="1"/>
        <v>0.99548087235547023</v>
      </c>
      <c r="N8" s="730">
        <f t="shared" si="1"/>
        <v>1</v>
      </c>
      <c r="O8" s="730">
        <f t="shared" si="1"/>
        <v>1</v>
      </c>
      <c r="P8" s="730">
        <f t="shared" si="1"/>
        <v>1</v>
      </c>
      <c r="Q8" s="730">
        <f t="shared" si="1"/>
        <v>1</v>
      </c>
    </row>
    <row r="9" spans="1:27">
      <c r="B9" s="19" t="s">
        <v>154</v>
      </c>
      <c r="C9" s="10">
        <f>126.82*1000/10^7</f>
        <v>1.2682000000000001E-2</v>
      </c>
      <c r="D9" s="10">
        <f>4807.49*1000/10^7</f>
        <v>0.48074899999999998</v>
      </c>
      <c r="E9" s="460">
        <v>0.68757591699999998</v>
      </c>
      <c r="F9" s="10">
        <v>0</v>
      </c>
      <c r="G9" s="10">
        <v>0</v>
      </c>
      <c r="H9" s="10">
        <v>0</v>
      </c>
      <c r="I9" s="10">
        <v>0</v>
      </c>
      <c r="J9" s="10"/>
      <c r="K9" s="730">
        <f t="shared" si="1"/>
        <v>2.4301251357316487E-4</v>
      </c>
      <c r="L9" s="730">
        <f t="shared" si="1"/>
        <v>8.9467276374411934E-3</v>
      </c>
      <c r="M9" s="731">
        <f t="shared" si="1"/>
        <v>4.5191276445297173E-3</v>
      </c>
      <c r="N9" s="730">
        <f t="shared" si="1"/>
        <v>0</v>
      </c>
      <c r="O9" s="730">
        <f t="shared" si="1"/>
        <v>0</v>
      </c>
      <c r="P9" s="730">
        <f t="shared" si="1"/>
        <v>0</v>
      </c>
      <c r="Q9" s="730">
        <f t="shared" si="1"/>
        <v>0</v>
      </c>
    </row>
    <row r="10" spans="1:27">
      <c r="A10" s="259"/>
      <c r="B10" s="11" t="s">
        <v>696</v>
      </c>
      <c r="C10" s="12">
        <f t="shared" ref="C10:D10" si="3">C8+SUM(C9:C9)</f>
        <v>52.186612999999994</v>
      </c>
      <c r="D10" s="12">
        <f t="shared" si="3"/>
        <v>53.734618900000008</v>
      </c>
      <c r="E10" s="461">
        <f>E8+SUM(E9:E9)</f>
        <v>152.14793010600002</v>
      </c>
      <c r="F10" s="407">
        <f>F8+F9</f>
        <v>302.89349225574</v>
      </c>
      <c r="G10" s="407">
        <f t="shared" ref="G10:I10" si="4">G8+G9</f>
        <v>442.7794812011648</v>
      </c>
      <c r="H10" s="407">
        <f t="shared" si="4"/>
        <v>657.13595930321821</v>
      </c>
      <c r="I10" s="407">
        <f t="shared" si="4"/>
        <v>951.46234869308159</v>
      </c>
      <c r="J10" s="992"/>
      <c r="K10" s="446">
        <f t="shared" si="1"/>
        <v>1</v>
      </c>
      <c r="L10" s="446">
        <f t="shared" si="1"/>
        <v>1</v>
      </c>
      <c r="M10" s="451">
        <f t="shared" si="1"/>
        <v>1</v>
      </c>
      <c r="N10" s="446">
        <f t="shared" si="1"/>
        <v>1</v>
      </c>
      <c r="O10" s="446">
        <f t="shared" si="1"/>
        <v>1</v>
      </c>
      <c r="P10" s="446">
        <f t="shared" si="1"/>
        <v>1</v>
      </c>
      <c r="Q10" s="446">
        <f t="shared" si="1"/>
        <v>1</v>
      </c>
    </row>
    <row r="11" spans="1:27" ht="12.75" customHeight="1">
      <c r="A11" s="259"/>
      <c r="B11" s="260" t="s">
        <v>155</v>
      </c>
      <c r="C11" s="733"/>
      <c r="D11" s="734">
        <f>D10/C10-1</f>
        <v>2.9662892665596408E-2</v>
      </c>
      <c r="E11" s="735">
        <f>E10/D10-1</f>
        <v>1.8314694180514604</v>
      </c>
      <c r="F11" s="977">
        <f>F10/E10-1</f>
        <v>0.99078286536476035</v>
      </c>
      <c r="G11" s="977">
        <f>G10/F10-1</f>
        <v>0.46183226950058009</v>
      </c>
      <c r="H11" s="977">
        <f>H10/G10-1</f>
        <v>0.48411565396063683</v>
      </c>
      <c r="I11" s="977">
        <f t="shared" ref="I11" si="5">I10/H10-1</f>
        <v>0.44789268525488524</v>
      </c>
      <c r="J11" s="261"/>
      <c r="K11" s="261"/>
      <c r="L11" s="261"/>
      <c r="M11" s="452"/>
      <c r="N11" s="261"/>
      <c r="O11" s="261"/>
      <c r="P11" s="261"/>
      <c r="Q11" s="261"/>
    </row>
    <row r="12" spans="1:27" s="4" customFormat="1" ht="12">
      <c r="B12" s="642" t="s">
        <v>156</v>
      </c>
      <c r="C12" s="643">
        <v>40.273494999999997</v>
      </c>
      <c r="D12" s="643">
        <v>43.914047799999999</v>
      </c>
      <c r="E12" s="644">
        <v>135.550646255</v>
      </c>
      <c r="F12" s="645"/>
      <c r="G12" s="645"/>
      <c r="H12" s="645"/>
      <c r="I12" s="645"/>
      <c r="J12" s="645"/>
      <c r="K12" s="646">
        <f>C12/C$10</f>
        <v>0.77172080510379171</v>
      </c>
      <c r="L12" s="646">
        <f>D12/D$10</f>
        <v>0.81723940169230436</v>
      </c>
      <c r="M12" s="911">
        <f>E12/E$10</f>
        <v>0.89091350871854225</v>
      </c>
      <c r="N12" s="646"/>
      <c r="O12" s="646"/>
      <c r="P12" s="646"/>
      <c r="Q12" s="646"/>
    </row>
    <row r="13" spans="1:27" s="4" customFormat="1" ht="12">
      <c r="B13" s="642" t="s">
        <v>157</v>
      </c>
      <c r="C13" s="643">
        <v>0.26966899999999999</v>
      </c>
      <c r="D13" s="643">
        <v>-1.5948982</v>
      </c>
      <c r="E13" s="644">
        <v>-12.261650835999999</v>
      </c>
      <c r="F13" s="643"/>
      <c r="G13" s="643"/>
      <c r="H13" s="643"/>
      <c r="I13" s="643"/>
      <c r="J13" s="643"/>
      <c r="K13" s="646">
        <f t="shared" ref="K13:K28" si="6">C13/C$10</f>
        <v>5.1673980068413332E-3</v>
      </c>
      <c r="L13" s="646">
        <f t="shared" ref="L13:L26" si="7">D13/D$10</f>
        <v>-2.9681018171322692E-2</v>
      </c>
      <c r="M13" s="911">
        <f t="shared" ref="M13:M26" si="8">E13/E$10</f>
        <v>-8.0590323032705233E-2</v>
      </c>
      <c r="N13" s="646"/>
      <c r="O13" s="646"/>
      <c r="P13" s="646"/>
      <c r="Q13" s="646"/>
    </row>
    <row r="14" spans="1:27" ht="12">
      <c r="B14" s="20" t="s">
        <v>158</v>
      </c>
      <c r="C14" s="10">
        <f>SUM(C12:C13)</f>
        <v>40.543163999999997</v>
      </c>
      <c r="D14" s="10">
        <f t="shared" ref="D14:E14" si="9">SUM(D12:D13)</f>
        <v>42.319149599999996</v>
      </c>
      <c r="E14" s="460">
        <f t="shared" si="9"/>
        <v>123.288995419</v>
      </c>
      <c r="F14" s="10">
        <f>(SUM(F5:F6)*Assum!D57)</f>
        <v>230.19905411436241</v>
      </c>
      <c r="G14" s="10">
        <f>(SUM(G5:G6)*Assum!E57)</f>
        <v>340.94020052489691</v>
      </c>
      <c r="H14" s="10">
        <f>(SUM(H5:H6)*Assum!F57)</f>
        <v>512.56604825651027</v>
      </c>
      <c r="I14" s="10">
        <f>(SUM(I5:I6)*Assum!G57)</f>
        <v>742.14063198060364</v>
      </c>
      <c r="J14" s="23"/>
      <c r="K14" s="724">
        <f t="shared" si="6"/>
        <v>0.776888203110633</v>
      </c>
      <c r="L14" s="724">
        <f t="shared" si="7"/>
        <v>0.78755838352098162</v>
      </c>
      <c r="M14" s="912">
        <f t="shared" si="8"/>
        <v>0.81032318568583706</v>
      </c>
      <c r="N14" s="646">
        <f>F14/F$10</f>
        <v>0.76</v>
      </c>
      <c r="O14" s="646">
        <f>G14/G$10</f>
        <v>0.77</v>
      </c>
      <c r="P14" s="646">
        <f t="shared" ref="P14:P26" si="10">H14/H$10</f>
        <v>0.78000000000000014</v>
      </c>
      <c r="Q14" s="646">
        <f t="shared" ref="Q14:Q26" si="11">I14/I$10</f>
        <v>0.78</v>
      </c>
    </row>
    <row r="15" spans="1:27" ht="12">
      <c r="B15" s="19" t="s">
        <v>159</v>
      </c>
      <c r="C15" s="10"/>
      <c r="D15" s="10">
        <v>1.7462869999999999</v>
      </c>
      <c r="E15" s="460">
        <v>4.8152156469999996</v>
      </c>
      <c r="F15" s="58">
        <f>HR!T51/10^7</f>
        <v>7.7503799999999998</v>
      </c>
      <c r="G15" s="58">
        <f>HR!U51/10^7</f>
        <v>7.3973116799999996</v>
      </c>
      <c r="H15" s="58">
        <f>HR!V51/10^7</f>
        <v>10.834226304000001</v>
      </c>
      <c r="I15" s="58">
        <f>HR!W51/10^7</f>
        <v>15.8489434752</v>
      </c>
      <c r="J15" s="58"/>
      <c r="K15" s="724">
        <f t="shared" si="6"/>
        <v>0</v>
      </c>
      <c r="L15" s="724">
        <f t="shared" si="7"/>
        <v>3.2498360195869921E-2</v>
      </c>
      <c r="M15" s="912">
        <f t="shared" si="8"/>
        <v>3.1648249461200588E-2</v>
      </c>
      <c r="N15" s="724">
        <f t="shared" ref="N15:N28" si="12">F15/F$10</f>
        <v>2.558780626906363E-2</v>
      </c>
      <c r="O15" s="724">
        <f t="shared" ref="O15:O29" si="13">G15/G$10</f>
        <v>1.6706536761669027E-2</v>
      </c>
      <c r="P15" s="724">
        <f t="shared" si="10"/>
        <v>1.6487039174492703E-2</v>
      </c>
      <c r="Q15" s="724">
        <f t="shared" si="11"/>
        <v>1.6657457330781337E-2</v>
      </c>
    </row>
    <row r="16" spans="1:27" ht="12">
      <c r="B16" s="19" t="s">
        <v>160</v>
      </c>
      <c r="C16" s="10"/>
      <c r="D16" s="10"/>
      <c r="E16" s="460"/>
      <c r="F16" s="58">
        <f>'Manufacturing Setup '!C8</f>
        <v>0.315</v>
      </c>
      <c r="G16" s="58">
        <f>'Manufacturing Setup '!D8</f>
        <v>1.323</v>
      </c>
      <c r="H16" s="58">
        <f>'Manufacturing Setup '!E8</f>
        <v>1.3891500000000001</v>
      </c>
      <c r="I16" s="58">
        <f>'Manufacturing Setup '!F8</f>
        <v>1.4586075000000003</v>
      </c>
      <c r="J16" s="58"/>
      <c r="K16" s="724">
        <f t="shared" ref="K16" si="14">C16/C$10</f>
        <v>0</v>
      </c>
      <c r="L16" s="724">
        <f t="shared" ref="L16" si="15">D16/D$10</f>
        <v>0</v>
      </c>
      <c r="M16" s="912">
        <f t="shared" ref="M16" si="16">E16/E$10</f>
        <v>0</v>
      </c>
      <c r="N16" s="724">
        <f t="shared" si="12"/>
        <v>1.0399695208176945E-3</v>
      </c>
      <c r="O16" s="724">
        <f t="shared" si="13"/>
        <v>2.9879433356102851E-3</v>
      </c>
      <c r="P16" s="724">
        <f t="shared" ref="P16" si="17">H16/H$10</f>
        <v>2.1139461025279447E-3</v>
      </c>
      <c r="Q16" s="724">
        <f t="shared" ref="Q16" si="18">I16/I$10</f>
        <v>1.5330165213615944E-3</v>
      </c>
    </row>
    <row r="17" spans="2:24" ht="12">
      <c r="B17" s="19" t="s">
        <v>121</v>
      </c>
      <c r="C17" s="10">
        <f t="shared" ref="C17:E17" si="19">SUM(C18:C28)</f>
        <v>5.6165629999999993</v>
      </c>
      <c r="D17" s="10">
        <f t="shared" si="19"/>
        <v>5.9676169999999988</v>
      </c>
      <c r="E17" s="460">
        <f t="shared" si="19"/>
        <v>9.4949206999999998</v>
      </c>
      <c r="F17" s="58">
        <f>SUM(F18:F28)</f>
        <v>17.890658369462383</v>
      </c>
      <c r="G17" s="58">
        <f>SUM(G18:G28)</f>
        <v>39.833811641963678</v>
      </c>
      <c r="H17" s="58">
        <f>SUM(H18:H28)</f>
        <v>51.198182008620272</v>
      </c>
      <c r="I17" s="58">
        <f>SUM(I18:I28)</f>
        <v>65.086975274814634</v>
      </c>
      <c r="J17" s="58"/>
      <c r="K17" s="724">
        <f t="shared" si="6"/>
        <v>0.10762459330326726</v>
      </c>
      <c r="L17" s="724">
        <f t="shared" si="7"/>
        <v>0.11105721269012291</v>
      </c>
      <c r="M17" s="912">
        <f t="shared" si="8"/>
        <v>6.2405848659163349E-2</v>
      </c>
      <c r="N17" s="724">
        <f>F17/F$10</f>
        <v>5.9065839401913872E-2</v>
      </c>
      <c r="O17" s="724">
        <f t="shared" si="13"/>
        <v>8.9963092991353563E-2</v>
      </c>
      <c r="P17" s="724">
        <f t="shared" si="10"/>
        <v>7.791109478000155E-2</v>
      </c>
      <c r="Q17" s="724">
        <f t="shared" si="11"/>
        <v>6.840730520153257E-2</v>
      </c>
    </row>
    <row r="18" spans="2:24" ht="12">
      <c r="B18" s="255" t="s">
        <v>122</v>
      </c>
      <c r="C18" s="256">
        <f>(608.11+4693.53+6969.01)/10^4</f>
        <v>1.2270650000000001</v>
      </c>
      <c r="D18" s="256">
        <f>(1004492+1060260+17365138)/10^7</f>
        <v>1.9429890000000001</v>
      </c>
      <c r="E18" s="462">
        <f>(10089147.26+3459934.02+3127368.51)/10^7</f>
        <v>1.6676449789999999</v>
      </c>
      <c r="F18" s="909">
        <f>'MarketingExps - FM'!C46/10^7</f>
        <v>2.3460000000000001</v>
      </c>
      <c r="G18" s="909">
        <f>'MarketingExps - FM'!D46/10^7</f>
        <v>10.983790000000001</v>
      </c>
      <c r="H18" s="909">
        <f>'MarketingExps - FM'!E46/10^7</f>
        <v>13.434791000000001</v>
      </c>
      <c r="I18" s="909">
        <f>'MarketingExps - FM'!F46/10^7</f>
        <v>15.255879494999999</v>
      </c>
      <c r="J18" s="445"/>
      <c r="K18" s="724">
        <f t="shared" si="6"/>
        <v>2.3513022391393752E-2</v>
      </c>
      <c r="L18" s="724">
        <f t="shared" si="7"/>
        <v>3.6158979811802473E-2</v>
      </c>
      <c r="M18" s="912">
        <f t="shared" si="8"/>
        <v>1.0960681343730194E-2</v>
      </c>
      <c r="N18" s="724">
        <f t="shared" si="12"/>
        <v>7.7452968121851156E-3</v>
      </c>
      <c r="O18" s="724">
        <f t="shared" si="13"/>
        <v>2.4806456636615948E-2</v>
      </c>
      <c r="P18" s="724">
        <f t="shared" si="10"/>
        <v>2.0444461773550377E-2</v>
      </c>
      <c r="Q18" s="724">
        <f t="shared" si="11"/>
        <v>1.6034138939870095E-2</v>
      </c>
    </row>
    <row r="19" spans="2:24" ht="24">
      <c r="B19" s="935" t="s">
        <v>687</v>
      </c>
      <c r="C19" s="256">
        <f>0.033675+0.009134+0+0.143788</f>
        <v>0.18659700000000001</v>
      </c>
      <c r="D19" s="256">
        <f>0.1055299+0.03+0.01656+0.1642687</f>
        <v>0.31635859999999993</v>
      </c>
      <c r="E19" s="462">
        <f>0.18285571+0.0532847+0.081656+0.01752919</f>
        <v>0.3353256</v>
      </c>
      <c r="F19" s="909">
        <f>Assum!D59</f>
        <v>1</v>
      </c>
      <c r="G19" s="909">
        <f>Assum!E59</f>
        <v>1.5</v>
      </c>
      <c r="H19" s="909">
        <f>Assum!F59</f>
        <v>2</v>
      </c>
      <c r="I19" s="909">
        <f>Assum!G59</f>
        <v>2</v>
      </c>
      <c r="J19" s="771"/>
      <c r="K19" s="724">
        <f t="shared" si="6"/>
        <v>3.5755721491256779E-3</v>
      </c>
      <c r="L19" s="724">
        <f t="shared" si="7"/>
        <v>5.887426141213405E-3</v>
      </c>
      <c r="M19" s="912">
        <f t="shared" si="8"/>
        <v>2.2039445411211433E-3</v>
      </c>
      <c r="N19" s="724">
        <f t="shared" si="12"/>
        <v>3.3014905422783952E-3</v>
      </c>
      <c r="O19" s="724">
        <f t="shared" si="13"/>
        <v>3.387690856701004E-3</v>
      </c>
      <c r="P19" s="724">
        <f t="shared" si="10"/>
        <v>3.0435102077211885E-3</v>
      </c>
      <c r="Q19" s="724">
        <f t="shared" si="11"/>
        <v>2.1020274767017092E-3</v>
      </c>
    </row>
    <row r="20" spans="2:24" ht="24">
      <c r="B20" s="935" t="s">
        <v>161</v>
      </c>
      <c r="C20" s="256">
        <v>0</v>
      </c>
      <c r="D20" s="256">
        <v>1.392E-2</v>
      </c>
      <c r="E20" s="462">
        <v>0.16900415400000002</v>
      </c>
      <c r="F20" s="909">
        <f>SUM('Warehouse Cost'!X10:X21)/10^7</f>
        <v>0.57089634</v>
      </c>
      <c r="G20" s="909">
        <f>SUM('Warehouse Cost'!AC10:AC21)/10^7</f>
        <v>0.61085908379999998</v>
      </c>
      <c r="H20" s="909">
        <f>SUM('Warehouse Cost'!AH10:AH21)/10^7</f>
        <v>0.65361921966600012</v>
      </c>
      <c r="I20" s="909">
        <f>SUM('Warehouse Cost'!AM10:AM21)/10^7</f>
        <v>0.69937256504262002</v>
      </c>
      <c r="J20" s="445"/>
      <c r="K20" s="908">
        <f t="shared" si="6"/>
        <v>0</v>
      </c>
      <c r="L20" s="908">
        <f t="shared" si="7"/>
        <v>2.5905087418420303E-4</v>
      </c>
      <c r="M20" s="912">
        <f t="shared" si="8"/>
        <v>1.1107883878686776E-3</v>
      </c>
      <c r="N20" s="908">
        <f t="shared" si="12"/>
        <v>1.8848088671313513E-3</v>
      </c>
      <c r="O20" s="908">
        <f t="shared" si="13"/>
        <v>1.3796011552813414E-3</v>
      </c>
      <c r="P20" s="908">
        <f t="shared" si="10"/>
        <v>9.9464838350811447E-4</v>
      </c>
      <c r="Q20" s="908">
        <f t="shared" si="11"/>
        <v>7.3505017408547022E-4</v>
      </c>
    </row>
    <row r="21" spans="2:24" ht="26.25" customHeight="1">
      <c r="B21" s="935" t="s">
        <v>140</v>
      </c>
      <c r="C21" s="256">
        <f>4021.48/10^4</f>
        <v>0.40214800000000001</v>
      </c>
      <c r="D21" s="256">
        <f>4912652/10^7</f>
        <v>0.49126520000000001</v>
      </c>
      <c r="E21" s="462">
        <f>5296288/10^7</f>
        <v>0.52962880000000001</v>
      </c>
      <c r="F21" s="909">
        <f>'Warehouse Cost'!X9/10^7</f>
        <v>0.56670281600000005</v>
      </c>
      <c r="G21" s="909">
        <f>'Warehouse Cost'!AC9/10^7</f>
        <v>0.60637201312000011</v>
      </c>
      <c r="H21" s="909">
        <f>'Warehouse Cost'!AH9/10^7</f>
        <v>0.64881805403839998</v>
      </c>
      <c r="I21" s="909">
        <f>'Warehouse Cost'!AM9/10^7</f>
        <v>0.69423531782108805</v>
      </c>
      <c r="J21" s="910"/>
      <c r="K21" s="908">
        <f t="shared" ref="K21:Q21" si="20">C21/C$10</f>
        <v>7.7059609137692083E-3</v>
      </c>
      <c r="L21" s="908">
        <f t="shared" si="20"/>
        <v>9.1424338732957865E-3</v>
      </c>
      <c r="M21" s="912">
        <f t="shared" si="20"/>
        <v>3.4810121940601667E-3</v>
      </c>
      <c r="N21" s="908">
        <f t="shared" si="12"/>
        <v>1.8709639873065338E-3</v>
      </c>
      <c r="O21" s="908">
        <f t="shared" si="13"/>
        <v>1.3694672830706703E-3</v>
      </c>
      <c r="P21" s="908">
        <f t="shared" si="20"/>
        <v>9.8734218520983401E-4</v>
      </c>
      <c r="Q21" s="908">
        <f t="shared" si="20"/>
        <v>7.2965085667833535E-4</v>
      </c>
    </row>
    <row r="22" spans="2:24" ht="12">
      <c r="B22" s="932" t="s">
        <v>162</v>
      </c>
      <c r="C22" s="256"/>
      <c r="D22" s="256"/>
      <c r="E22" s="462"/>
      <c r="F22" s="909">
        <f>'Regional Office Cost'!D28</f>
        <v>0</v>
      </c>
      <c r="G22" s="909">
        <f>'Regional Office Cost'!E28/10^7</f>
        <v>6.6785600000000001</v>
      </c>
      <c r="H22" s="909">
        <f>'Regional Office Cost'!F28/10^7</f>
        <v>7.4540591999999997</v>
      </c>
      <c r="I22" s="909">
        <f>'Regional Office Cost'!G28/10^7</f>
        <v>8.2348433439999997</v>
      </c>
      <c r="J22" s="445"/>
      <c r="K22" s="724">
        <f t="shared" si="6"/>
        <v>0</v>
      </c>
      <c r="L22" s="724">
        <f t="shared" si="7"/>
        <v>0</v>
      </c>
      <c r="M22" s="912">
        <f t="shared" si="8"/>
        <v>0</v>
      </c>
      <c r="N22" s="724">
        <f t="shared" si="12"/>
        <v>0</v>
      </c>
      <c r="O22" s="724">
        <f t="shared" si="13"/>
        <v>1.5083264431952704E-2</v>
      </c>
      <c r="P22" s="724">
        <f t="shared" si="10"/>
        <v>1.1343252632079017E-2</v>
      </c>
      <c r="Q22" s="724">
        <f t="shared" si="11"/>
        <v>8.6549334877110921E-3</v>
      </c>
    </row>
    <row r="23" spans="2:24" ht="12">
      <c r="B23" s="255" t="s">
        <v>126</v>
      </c>
      <c r="C23" s="256"/>
      <c r="D23" s="256"/>
      <c r="E23" s="462"/>
      <c r="F23" s="909">
        <f>'EBO Cost'!D11/10^7</f>
        <v>0.7</v>
      </c>
      <c r="G23" s="909">
        <f>'EBO Cost'!E11/10^7</f>
        <v>0.75</v>
      </c>
      <c r="H23" s="909">
        <f>'EBO Cost'!F11/10^7</f>
        <v>0.85</v>
      </c>
      <c r="I23" s="909">
        <f>'EBO Cost'!G11/10^7</f>
        <v>0.95</v>
      </c>
      <c r="J23" s="445"/>
      <c r="K23" s="724">
        <f t="shared" si="6"/>
        <v>0</v>
      </c>
      <c r="L23" s="724">
        <f t="shared" si="7"/>
        <v>0</v>
      </c>
      <c r="M23" s="912">
        <f t="shared" si="8"/>
        <v>0</v>
      </c>
      <c r="N23" s="724">
        <f t="shared" si="12"/>
        <v>2.3110433795948764E-3</v>
      </c>
      <c r="O23" s="724">
        <f t="shared" si="13"/>
        <v>1.693845428350502E-3</v>
      </c>
      <c r="P23" s="724">
        <f t="shared" si="10"/>
        <v>1.2934918382815049E-3</v>
      </c>
      <c r="Q23" s="724">
        <f t="shared" si="11"/>
        <v>9.9846305143331182E-4</v>
      </c>
    </row>
    <row r="24" spans="2:24" ht="12">
      <c r="B24" s="255" t="s">
        <v>128</v>
      </c>
      <c r="C24" s="256">
        <f>(2382.61+1181.01)/10^4</f>
        <v>0.35636200000000001</v>
      </c>
      <c r="D24" s="256">
        <f>(391606+5071821)/10^7</f>
        <v>0.54634269999999996</v>
      </c>
      <c r="E24" s="462">
        <f>(1619277.68+7850192.21)/10^7</f>
        <v>0.94694698900000007</v>
      </c>
      <c r="F24" s="909">
        <f>Assum!D60*F8</f>
        <v>1.8173609535344399</v>
      </c>
      <c r="G24" s="909">
        <f>Assum!E60*G8</f>
        <v>3.3208461090087358</v>
      </c>
      <c r="H24" s="909">
        <f>Assum!F60*H8</f>
        <v>3.9428157558193093</v>
      </c>
      <c r="I24" s="909">
        <f>Assum!G60*I8</f>
        <v>5.7087740921584897</v>
      </c>
      <c r="J24" s="445"/>
      <c r="K24" s="724">
        <f t="shared" si="6"/>
        <v>6.8286094750008028E-3</v>
      </c>
      <c r="L24" s="724">
        <f t="shared" si="7"/>
        <v>1.0167424859134896E-2</v>
      </c>
      <c r="M24" s="912">
        <f t="shared" si="8"/>
        <v>6.2238571917493136E-3</v>
      </c>
      <c r="N24" s="724">
        <f t="shared" si="12"/>
        <v>6.0000000000000001E-3</v>
      </c>
      <c r="O24" s="724">
        <f t="shared" si="13"/>
        <v>7.4999999999999997E-3</v>
      </c>
      <c r="P24" s="724">
        <f t="shared" si="10"/>
        <v>6.0000000000000001E-3</v>
      </c>
      <c r="Q24" s="724">
        <f t="shared" si="11"/>
        <v>6.0000000000000001E-3</v>
      </c>
    </row>
    <row r="25" spans="2:24" ht="12">
      <c r="B25" s="255" t="s">
        <v>129</v>
      </c>
      <c r="C25" s="256">
        <v>2.2054279999999999</v>
      </c>
      <c r="D25" s="256">
        <v>1.6519021</v>
      </c>
      <c r="E25" s="462">
        <v>4.5769116639999998</v>
      </c>
      <c r="F25" s="909">
        <f>F8*Assum!D$58</f>
        <v>9.0868047676722004</v>
      </c>
      <c r="G25" s="909">
        <f>G8*Assum!E$58</f>
        <v>13.283384436034943</v>
      </c>
      <c r="H25" s="909">
        <f>H8*Assum!F$58</f>
        <v>19.714078779096546</v>
      </c>
      <c r="I25" s="909">
        <f>I8*Assum!G$58</f>
        <v>28.543870460792448</v>
      </c>
      <c r="J25" s="445"/>
      <c r="K25" s="724">
        <f t="shared" si="6"/>
        <v>4.226041647883913E-2</v>
      </c>
      <c r="L25" s="724">
        <f t="shared" si="7"/>
        <v>3.0741859416071896E-2</v>
      </c>
      <c r="M25" s="912">
        <f t="shared" si="8"/>
        <v>3.0081984426678095E-2</v>
      </c>
      <c r="N25" s="724">
        <f t="shared" si="12"/>
        <v>3.0000000000000002E-2</v>
      </c>
      <c r="O25" s="724">
        <f t="shared" si="13"/>
        <v>0.03</v>
      </c>
      <c r="P25" s="724">
        <f t="shared" si="10"/>
        <v>0.03</v>
      </c>
      <c r="Q25" s="724">
        <f t="shared" si="11"/>
        <v>0.03</v>
      </c>
    </row>
    <row r="26" spans="2:24" ht="12">
      <c r="B26" s="255" t="s">
        <v>130</v>
      </c>
      <c r="C26" s="256"/>
      <c r="D26" s="256">
        <f>0.0720019+0.0723159</f>
        <v>0.1443178</v>
      </c>
      <c r="E26" s="462">
        <f>0.2312731+0.1560191</f>
        <v>0.38729219999999998</v>
      </c>
      <c r="F26" s="909">
        <v>0.5</v>
      </c>
      <c r="G26" s="909">
        <v>0.6</v>
      </c>
      <c r="H26" s="909">
        <v>0.7</v>
      </c>
      <c r="I26" s="909">
        <v>0.8</v>
      </c>
      <c r="J26" s="445"/>
      <c r="K26" s="724">
        <f t="shared" si="6"/>
        <v>0</v>
      </c>
      <c r="L26" s="724">
        <f t="shared" si="7"/>
        <v>2.685750880053231E-3</v>
      </c>
      <c r="M26" s="912">
        <f t="shared" si="8"/>
        <v>2.5454976596144107E-3</v>
      </c>
      <c r="N26" s="724">
        <f t="shared" si="12"/>
        <v>1.6507452711391976E-3</v>
      </c>
      <c r="O26" s="724">
        <f t="shared" si="13"/>
        <v>1.3550763426804014E-3</v>
      </c>
      <c r="P26" s="724">
        <f t="shared" si="10"/>
        <v>1.0652285727024158E-3</v>
      </c>
      <c r="Q26" s="724">
        <f t="shared" si="11"/>
        <v>8.4081099068068364E-4</v>
      </c>
    </row>
    <row r="27" spans="2:24" ht="12">
      <c r="B27" s="255" t="s">
        <v>131</v>
      </c>
      <c r="C27" s="256"/>
      <c r="D27" s="256">
        <v>0.1084</v>
      </c>
      <c r="E27" s="462">
        <v>0.2177</v>
      </c>
      <c r="F27" s="909">
        <f>Assum!D61*F8</f>
        <v>0.30289349225574003</v>
      </c>
      <c r="G27" s="909">
        <v>0.4</v>
      </c>
      <c r="H27" s="909">
        <v>0.6</v>
      </c>
      <c r="I27" s="909">
        <v>0.8</v>
      </c>
      <c r="J27" s="445"/>
      <c r="K27" s="724">
        <f t="shared" si="6"/>
        <v>0</v>
      </c>
      <c r="L27" s="724">
        <f t="shared" ref="L27:L28" si="21">D27/D$10</f>
        <v>2.0173214627562937E-3</v>
      </c>
      <c r="M27" s="912">
        <f t="shared" ref="M27:M28" si="22">E27/E$10</f>
        <v>1.4308443095369782E-3</v>
      </c>
      <c r="N27" s="724">
        <f t="shared" si="12"/>
        <v>1E-3</v>
      </c>
      <c r="O27" s="724">
        <f t="shared" si="13"/>
        <v>9.0338422845360111E-4</v>
      </c>
      <c r="P27" s="724">
        <f t="shared" ref="P27:P28" si="23">H27/H$10</f>
        <v>9.1305306231635644E-4</v>
      </c>
      <c r="Q27" s="724">
        <f t="shared" ref="Q27:Q28" si="24">I27/I$10</f>
        <v>8.4081099068068364E-4</v>
      </c>
    </row>
    <row r="28" spans="2:24" ht="12">
      <c r="B28" s="255" t="s">
        <v>132</v>
      </c>
      <c r="C28" s="256">
        <f>1.391885-(0.009134+0+0.143788)</f>
        <v>1.238963</v>
      </c>
      <c r="D28" s="256">
        <f>0.9629503-(0.03+0.01656+0.1642687)</f>
        <v>0.75212160000000006</v>
      </c>
      <c r="E28" s="462">
        <f>1.034636204-E27-(0.0532847+0.081656+0.01752919)</f>
        <v>0.66446631399999989</v>
      </c>
      <c r="F28" s="909">
        <f>Assum!D62</f>
        <v>1</v>
      </c>
      <c r="G28" s="909">
        <f>Assum!E62</f>
        <v>1.1000000000000001</v>
      </c>
      <c r="H28" s="909">
        <f>Assum!F62</f>
        <v>1.2</v>
      </c>
      <c r="I28" s="909">
        <f>Assum!G62</f>
        <v>1.4</v>
      </c>
      <c r="J28" s="445"/>
      <c r="K28" s="729">
        <f t="shared" si="6"/>
        <v>2.3741011895138706E-2</v>
      </c>
      <c r="L28" s="729">
        <f t="shared" si="21"/>
        <v>1.3996965371610739E-2</v>
      </c>
      <c r="M28" s="913">
        <f t="shared" si="22"/>
        <v>4.367238604804367E-3</v>
      </c>
      <c r="N28" s="729">
        <f t="shared" si="12"/>
        <v>3.3014905422783952E-3</v>
      </c>
      <c r="O28" s="729">
        <f t="shared" si="13"/>
        <v>2.4843066282474028E-3</v>
      </c>
      <c r="P28" s="729">
        <f t="shared" si="23"/>
        <v>1.8261061246327129E-3</v>
      </c>
      <c r="Q28" s="729">
        <f t="shared" si="24"/>
        <v>1.4714192336911962E-3</v>
      </c>
    </row>
    <row r="29" spans="2:24">
      <c r="B29" s="11" t="s">
        <v>163</v>
      </c>
      <c r="C29" s="12">
        <f t="shared" ref="C29:E29" si="25">SUM(C14:C17)</f>
        <v>46.159726999999997</v>
      </c>
      <c r="D29" s="12">
        <f t="shared" si="25"/>
        <v>50.033053599999995</v>
      </c>
      <c r="E29" s="461">
        <f t="shared" si="25"/>
        <v>137.599131766</v>
      </c>
      <c r="F29" s="12">
        <f>SUM(F14:F17)</f>
        <v>256.15509248382477</v>
      </c>
      <c r="G29" s="12">
        <f>SUM(G14:G17)</f>
        <v>389.49432384686054</v>
      </c>
      <c r="H29" s="12">
        <f>SUM(H14:H17)</f>
        <v>575.98760656913055</v>
      </c>
      <c r="I29" s="12">
        <f>SUM(I14:I17)</f>
        <v>824.53515823061832</v>
      </c>
      <c r="J29" s="23"/>
      <c r="K29" s="692">
        <f t="shared" ref="K29:Q29" si="26">C29/C$10</f>
        <v>0.88451279641390024</v>
      </c>
      <c r="L29" s="692">
        <f t="shared" si="26"/>
        <v>0.93111395640697447</v>
      </c>
      <c r="M29" s="693">
        <f t="shared" si="26"/>
        <v>0.90437728380620097</v>
      </c>
      <c r="N29" s="692">
        <f t="shared" si="26"/>
        <v>0.8456936151917952</v>
      </c>
      <c r="O29" s="692">
        <f t="shared" si="13"/>
        <v>0.87965757308863279</v>
      </c>
      <c r="P29" s="692">
        <f t="shared" si="26"/>
        <v>0.8765120800570223</v>
      </c>
      <c r="Q29" s="692">
        <f t="shared" si="26"/>
        <v>0.86659777905367552</v>
      </c>
      <c r="R29" s="262"/>
      <c r="S29" s="262"/>
      <c r="T29" s="262"/>
      <c r="U29" s="262"/>
      <c r="V29" s="262"/>
      <c r="W29" s="262"/>
      <c r="X29" s="262"/>
    </row>
    <row r="30" spans="2:24">
      <c r="B30" s="15"/>
      <c r="C30" s="23"/>
      <c r="D30" s="23"/>
      <c r="E30" s="456"/>
      <c r="F30" s="58"/>
      <c r="G30" s="58"/>
      <c r="H30" s="58"/>
      <c r="I30" s="58"/>
      <c r="J30" s="58"/>
      <c r="K30" s="58"/>
      <c r="L30" s="58"/>
      <c r="M30" s="691"/>
      <c r="N30" s="58"/>
      <c r="O30" s="58"/>
      <c r="P30" s="58"/>
      <c r="Q30" s="58"/>
      <c r="R30" s="262"/>
      <c r="S30" s="262"/>
      <c r="T30" s="262"/>
      <c r="U30" s="262"/>
      <c r="V30" s="262"/>
      <c r="W30" s="262"/>
      <c r="X30" s="262"/>
    </row>
    <row r="31" spans="2:24">
      <c r="B31" s="20" t="s">
        <v>164</v>
      </c>
      <c r="C31" s="22">
        <f t="shared" ref="C31:H31" si="27">C10-C29</f>
        <v>6.0268859999999975</v>
      </c>
      <c r="D31" s="22">
        <f t="shared" si="27"/>
        <v>3.7015653000000128</v>
      </c>
      <c r="E31" s="455">
        <f t="shared" si="27"/>
        <v>14.548798340000019</v>
      </c>
      <c r="F31" s="22">
        <f>F10-F29</f>
        <v>46.738399771915226</v>
      </c>
      <c r="G31" s="22">
        <f t="shared" si="27"/>
        <v>53.28515735430426</v>
      </c>
      <c r="H31" s="22">
        <f t="shared" si="27"/>
        <v>81.148352734087666</v>
      </c>
      <c r="I31" s="22">
        <f>I10-I29</f>
        <v>126.92719046246327</v>
      </c>
      <c r="J31" s="22"/>
      <c r="K31" s="437">
        <f>C31/C$10</f>
        <v>0.11548720358609972</v>
      </c>
      <c r="L31" s="437">
        <f t="shared" ref="L31:Q31" si="28">D31/D$10</f>
        <v>6.8886043593025512E-2</v>
      </c>
      <c r="M31" s="453">
        <f t="shared" si="28"/>
        <v>9.5622716193799084E-2</v>
      </c>
      <c r="N31" s="437">
        <f t="shared" si="28"/>
        <v>0.15430638480820483</v>
      </c>
      <c r="O31" s="437">
        <f t="shared" si="28"/>
        <v>0.12034242691136719</v>
      </c>
      <c r="P31" s="437">
        <f t="shared" si="28"/>
        <v>0.12348791994297771</v>
      </c>
      <c r="Q31" s="437">
        <f t="shared" si="28"/>
        <v>0.13340222094632445</v>
      </c>
      <c r="R31" s="262"/>
      <c r="S31" s="262"/>
      <c r="T31" s="262"/>
      <c r="U31" s="262"/>
      <c r="V31" s="262"/>
      <c r="W31" s="262"/>
      <c r="X31" s="262"/>
    </row>
    <row r="32" spans="2:24">
      <c r="B32" s="20"/>
      <c r="C32" s="268">
        <f t="shared" ref="C32:E32" si="29">C31/C$8</f>
        <v>0.11551527524349273</v>
      </c>
      <c r="D32" s="268">
        <f t="shared" si="29"/>
        <v>6.950791194988841E-2</v>
      </c>
      <c r="E32" s="463">
        <f t="shared" si="29"/>
        <v>9.6056809175589813E-2</v>
      </c>
      <c r="F32" s="268">
        <f>F31/F$8</f>
        <v>0.15430638480820483</v>
      </c>
      <c r="G32" s="268">
        <f>G31/G$8</f>
        <v>0.12034242691136719</v>
      </c>
      <c r="H32" s="268">
        <f>H31/H$8</f>
        <v>0.12348791994297771</v>
      </c>
      <c r="I32" s="268">
        <f>I31/I$8</f>
        <v>0.13340222094632445</v>
      </c>
      <c r="J32" s="22"/>
      <c r="K32" s="22"/>
      <c r="L32" s="22"/>
      <c r="M32" s="455"/>
      <c r="N32" s="22"/>
      <c r="O32" s="22"/>
      <c r="P32" s="22"/>
      <c r="Q32" s="22"/>
    </row>
    <row r="33" spans="2:17">
      <c r="B33" s="20"/>
      <c r="C33" s="268"/>
      <c r="D33" s="268"/>
      <c r="E33" s="463"/>
      <c r="F33" s="268"/>
      <c r="G33" s="268"/>
      <c r="H33" s="268"/>
      <c r="I33" s="268"/>
      <c r="J33" s="268"/>
      <c r="K33" s="22"/>
      <c r="L33" s="22"/>
      <c r="M33" s="455"/>
      <c r="N33" s="22"/>
      <c r="O33" s="22"/>
      <c r="P33" s="22"/>
      <c r="Q33" s="22"/>
    </row>
    <row r="34" spans="2:17">
      <c r="B34" s="19" t="s">
        <v>165</v>
      </c>
      <c r="C34" s="687">
        <v>0.20008799999999999</v>
      </c>
      <c r="D34" s="687">
        <v>0.5024689</v>
      </c>
      <c r="E34" s="688">
        <v>1.8535840000000098E-2</v>
      </c>
      <c r="F34" s="687">
        <v>0</v>
      </c>
      <c r="G34" s="687">
        <v>0</v>
      </c>
      <c r="H34" s="687">
        <v>0</v>
      </c>
      <c r="I34" s="687">
        <v>0</v>
      </c>
      <c r="J34" s="268"/>
      <c r="K34" s="437">
        <f>C34/C$10</f>
        <v>3.8340867225853496E-3</v>
      </c>
      <c r="L34" s="437">
        <f t="shared" ref="L34:Q35" si="30">D34/D$10</f>
        <v>9.3509344680585416E-3</v>
      </c>
      <c r="M34" s="453">
        <f t="shared" si="30"/>
        <v>1.2182775005277005E-4</v>
      </c>
      <c r="N34" s="437">
        <f t="shared" si="30"/>
        <v>0</v>
      </c>
      <c r="O34" s="437">
        <f t="shared" si="30"/>
        <v>0</v>
      </c>
      <c r="P34" s="437">
        <f t="shared" si="30"/>
        <v>0</v>
      </c>
      <c r="Q34" s="437">
        <f t="shared" si="30"/>
        <v>0</v>
      </c>
    </row>
    <row r="35" spans="2:17">
      <c r="B35" s="19" t="s">
        <v>166</v>
      </c>
      <c r="C35" s="687">
        <v>0</v>
      </c>
      <c r="D35" s="687">
        <v>0</v>
      </c>
      <c r="E35" s="688">
        <f>-0.33</f>
        <v>-0.33</v>
      </c>
      <c r="F35" s="687">
        <v>0</v>
      </c>
      <c r="G35" s="687">
        <v>0</v>
      </c>
      <c r="H35" s="687">
        <v>0</v>
      </c>
      <c r="I35" s="687">
        <v>0</v>
      </c>
      <c r="J35" s="268"/>
      <c r="K35" s="437">
        <f>C35/C$10</f>
        <v>0</v>
      </c>
      <c r="L35" s="437">
        <f t="shared" si="30"/>
        <v>0</v>
      </c>
      <c r="M35" s="453">
        <f t="shared" si="30"/>
        <v>-2.1689417645714415E-3</v>
      </c>
      <c r="N35" s="437">
        <f t="shared" si="30"/>
        <v>0</v>
      </c>
      <c r="O35" s="437">
        <f t="shared" si="30"/>
        <v>0</v>
      </c>
      <c r="P35" s="437">
        <f t="shared" si="30"/>
        <v>0</v>
      </c>
      <c r="Q35" s="437">
        <f t="shared" si="30"/>
        <v>0</v>
      </c>
    </row>
    <row r="36" spans="2:17">
      <c r="B36" s="20"/>
      <c r="C36" s="686"/>
      <c r="D36" s="686"/>
      <c r="E36" s="689"/>
      <c r="F36" s="268"/>
      <c r="G36" s="268"/>
      <c r="H36" s="268"/>
      <c r="I36" s="268"/>
      <c r="J36" s="268"/>
      <c r="K36" s="22"/>
      <c r="L36" s="22"/>
      <c r="M36" s="455"/>
      <c r="N36" s="22"/>
      <c r="O36" s="22"/>
      <c r="P36" s="22"/>
      <c r="Q36" s="22"/>
    </row>
    <row r="37" spans="2:17">
      <c r="B37" s="20" t="s">
        <v>167</v>
      </c>
      <c r="C37" s="22">
        <f t="shared" ref="C37:I37" si="31">C31+SUM(C34:C35)</f>
        <v>6.2269739999999976</v>
      </c>
      <c r="D37" s="22">
        <f t="shared" si="31"/>
        <v>4.204034200000013</v>
      </c>
      <c r="E37" s="455">
        <f t="shared" si="31"/>
        <v>14.237334180000019</v>
      </c>
      <c r="F37" s="22">
        <f>F31+SUM(F34:F35)</f>
        <v>46.738399771915226</v>
      </c>
      <c r="G37" s="22">
        <f t="shared" si="31"/>
        <v>53.28515735430426</v>
      </c>
      <c r="H37" s="22">
        <f t="shared" si="31"/>
        <v>81.148352734087666</v>
      </c>
      <c r="I37" s="22">
        <f t="shared" si="31"/>
        <v>126.92719046246327</v>
      </c>
      <c r="J37" s="268"/>
      <c r="K37" s="437">
        <f>C37/C$10</f>
        <v>0.11932129030868507</v>
      </c>
      <c r="L37" s="437">
        <f t="shared" ref="L37:Q37" si="32">D37/D$10</f>
        <v>7.8236978061084053E-2</v>
      </c>
      <c r="M37" s="453">
        <f t="shared" si="32"/>
        <v>9.3575602179280418E-2</v>
      </c>
      <c r="N37" s="437">
        <f t="shared" si="32"/>
        <v>0.15430638480820483</v>
      </c>
      <c r="O37" s="437">
        <f t="shared" si="32"/>
        <v>0.12034242691136719</v>
      </c>
      <c r="P37" s="437">
        <f t="shared" si="32"/>
        <v>0.12348791994297771</v>
      </c>
      <c r="Q37" s="437">
        <f t="shared" si="32"/>
        <v>0.13340222094632445</v>
      </c>
    </row>
    <row r="38" spans="2:17">
      <c r="B38" s="20"/>
      <c r="C38" s="268">
        <f t="shared" ref="C38:E38" si="33">C37/C$8</f>
        <v>0.11935029392360713</v>
      </c>
      <c r="D38" s="268">
        <f t="shared" si="33"/>
        <v>7.8943261924332236E-2</v>
      </c>
      <c r="E38" s="690">
        <f t="shared" si="33"/>
        <v>9.4000401994530802E-2</v>
      </c>
      <c r="F38" s="268">
        <f>F37/F$8</f>
        <v>0.15430638480820483</v>
      </c>
      <c r="G38" s="268">
        <f>G37/G$8</f>
        <v>0.12034242691136719</v>
      </c>
      <c r="H38" s="268">
        <f>H37/H$8</f>
        <v>0.12348791994297771</v>
      </c>
      <c r="I38" s="268">
        <f>I37/I$8</f>
        <v>0.13340222094632445</v>
      </c>
      <c r="J38" s="268"/>
      <c r="K38" s="22"/>
      <c r="L38" s="22"/>
      <c r="M38" s="455"/>
      <c r="N38" s="22"/>
      <c r="O38" s="22"/>
      <c r="P38" s="22"/>
      <c r="Q38" s="22"/>
    </row>
    <row r="39" spans="2:17">
      <c r="B39" s="20"/>
      <c r="C39" s="268"/>
      <c r="D39" s="268"/>
      <c r="E39" s="463"/>
      <c r="F39" s="268"/>
      <c r="G39" s="268"/>
      <c r="H39" s="268"/>
      <c r="I39" s="268"/>
      <c r="J39" s="268"/>
      <c r="K39" s="22"/>
      <c r="L39" s="22"/>
      <c r="M39" s="455"/>
      <c r="N39" s="22"/>
      <c r="O39" s="22"/>
      <c r="P39" s="22"/>
      <c r="Q39" s="22"/>
    </row>
    <row r="40" spans="2:17">
      <c r="B40" s="8" t="s">
        <v>168</v>
      </c>
      <c r="C40" s="10">
        <f>537.58*1000/10^7</f>
        <v>5.3758E-2</v>
      </c>
      <c r="D40" s="10">
        <v>0.10425760000000001</v>
      </c>
      <c r="E40" s="460">
        <v>0.21134339999999999</v>
      </c>
      <c r="F40" s="10">
        <f>Capex!G57</f>
        <v>2.12541269902</v>
      </c>
      <c r="G40" s="10">
        <f>Capex!G78</f>
        <v>2.8037222095068834</v>
      </c>
      <c r="H40" s="10">
        <f>Capex!G98</f>
        <v>2.7904567793292969</v>
      </c>
      <c r="I40" s="10">
        <f>Capex!G117</f>
        <v>2.7557922211994317</v>
      </c>
      <c r="J40" s="10"/>
      <c r="K40" s="447">
        <f t="shared" ref="K40:Q41" si="34">C40/C$10</f>
        <v>1.0301109213583185E-3</v>
      </c>
      <c r="L40" s="447">
        <f t="shared" si="34"/>
        <v>1.9402314957145809E-3</v>
      </c>
      <c r="M40" s="454">
        <f t="shared" si="34"/>
        <v>1.3890652331106908E-3</v>
      </c>
      <c r="N40" s="447">
        <f t="shared" si="34"/>
        <v>7.0170299242529278E-3</v>
      </c>
      <c r="O40" s="447">
        <f t="shared" si="34"/>
        <v>6.3320960625840037E-3</v>
      </c>
      <c r="P40" s="447">
        <f t="shared" si="34"/>
        <v>4.246391846046753E-3</v>
      </c>
      <c r="Q40" s="447">
        <f t="shared" si="34"/>
        <v>2.8963754845210197E-3</v>
      </c>
    </row>
    <row r="41" spans="2:17">
      <c r="B41" s="11" t="s">
        <v>169</v>
      </c>
      <c r="C41" s="12">
        <f>C37-C40</f>
        <v>6.1732159999999974</v>
      </c>
      <c r="D41" s="12">
        <f>D37-D40</f>
        <v>4.0997766000000126</v>
      </c>
      <c r="E41" s="461">
        <f>E37-E40</f>
        <v>14.025990780000019</v>
      </c>
      <c r="F41" s="12">
        <f>F37-F40</f>
        <v>44.612987072895223</v>
      </c>
      <c r="G41" s="12">
        <f>G37-G40</f>
        <v>50.481435144797373</v>
      </c>
      <c r="H41" s="12">
        <f t="shared" ref="H41:I41" si="35">H37-H40</f>
        <v>78.357895954758362</v>
      </c>
      <c r="I41" s="12">
        <f t="shared" si="35"/>
        <v>124.17139824126384</v>
      </c>
      <c r="J41" s="23"/>
      <c r="K41" s="437">
        <f t="shared" si="34"/>
        <v>0.11829117938732675</v>
      </c>
      <c r="L41" s="437">
        <f t="shared" si="34"/>
        <v>7.6296746565369458E-2</v>
      </c>
      <c r="M41" s="453">
        <f t="shared" si="34"/>
        <v>9.2186536946169712E-2</v>
      </c>
      <c r="N41" s="437">
        <f t="shared" si="34"/>
        <v>0.1472893548839519</v>
      </c>
      <c r="O41" s="437">
        <f t="shared" si="34"/>
        <v>0.11401033084878319</v>
      </c>
      <c r="P41" s="437">
        <f t="shared" si="34"/>
        <v>0.11924152809693093</v>
      </c>
      <c r="Q41" s="437">
        <f t="shared" si="34"/>
        <v>0.13050584546180344</v>
      </c>
    </row>
    <row r="42" spans="2:17">
      <c r="B42" s="15"/>
      <c r="C42" s="268">
        <f>C41/C$10</f>
        <v>0.11829117938732675</v>
      </c>
      <c r="D42" s="268">
        <f t="shared" ref="D42:I42" si="36">D41/D$10</f>
        <v>7.6296746565369458E-2</v>
      </c>
      <c r="E42" s="463">
        <f t="shared" si="36"/>
        <v>9.2186536946169712E-2</v>
      </c>
      <c r="F42" s="268">
        <f t="shared" si="36"/>
        <v>0.1472893548839519</v>
      </c>
      <c r="G42" s="268">
        <f t="shared" si="36"/>
        <v>0.11401033084878319</v>
      </c>
      <c r="H42" s="268">
        <f t="shared" si="36"/>
        <v>0.11924152809693093</v>
      </c>
      <c r="I42" s="268">
        <f t="shared" si="36"/>
        <v>0.13050584546180344</v>
      </c>
      <c r="J42" s="268"/>
      <c r="K42" s="23"/>
      <c r="L42" s="23"/>
      <c r="M42" s="456"/>
      <c r="N42" s="23"/>
      <c r="O42" s="23"/>
      <c r="P42" s="23"/>
      <c r="Q42" s="23"/>
    </row>
    <row r="43" spans="2:17">
      <c r="B43" s="8" t="s">
        <v>170</v>
      </c>
      <c r="C43" s="10">
        <v>0.51256999999999997</v>
      </c>
      <c r="D43" s="10">
        <v>1.2950987</v>
      </c>
      <c r="E43" s="460">
        <v>1.33767328</v>
      </c>
      <c r="F43" s="10">
        <v>0</v>
      </c>
      <c r="G43" s="10">
        <v>0</v>
      </c>
      <c r="H43" s="10">
        <v>0</v>
      </c>
      <c r="I43" s="10">
        <v>0</v>
      </c>
      <c r="J43" s="10"/>
      <c r="K43" s="447">
        <f>C43/C$10</f>
        <v>9.8218675352623481E-3</v>
      </c>
      <c r="L43" s="447">
        <f t="shared" ref="L43:Q44" si="37">D43/D$10</f>
        <v>2.4101756493521906E-2</v>
      </c>
      <c r="M43" s="454">
        <f t="shared" si="37"/>
        <v>8.7919255889189925E-3</v>
      </c>
      <c r="N43" s="447">
        <f t="shared" si="37"/>
        <v>0</v>
      </c>
      <c r="O43" s="447">
        <f t="shared" si="37"/>
        <v>0</v>
      </c>
      <c r="P43" s="447">
        <f t="shared" si="37"/>
        <v>0</v>
      </c>
      <c r="Q43" s="447">
        <f t="shared" si="37"/>
        <v>0</v>
      </c>
    </row>
    <row r="44" spans="2:17">
      <c r="B44" s="11" t="s">
        <v>171</v>
      </c>
      <c r="C44" s="12">
        <f>C41-C43+SUM(C9:C9)</f>
        <v>5.673327999999997</v>
      </c>
      <c r="D44" s="12">
        <f>D41-D43</f>
        <v>2.8046779000000126</v>
      </c>
      <c r="E44" s="461">
        <f>E41-E43</f>
        <v>12.688317500000018</v>
      </c>
      <c r="F44" s="12">
        <f>F41-F43+SUM(F9:F9)</f>
        <v>44.612987072895223</v>
      </c>
      <c r="G44" s="12">
        <f>G41-G43+SUM(G9:G9)</f>
        <v>50.481435144797373</v>
      </c>
      <c r="H44" s="12">
        <f>H41-H43+SUM(H9:H9)</f>
        <v>78.357895954758362</v>
      </c>
      <c r="I44" s="12">
        <f>I41-I43+SUM(I9:I9)</f>
        <v>124.17139824126384</v>
      </c>
      <c r="J44" s="23"/>
      <c r="K44" s="448">
        <f>C44/C$10</f>
        <v>0.10871232436563756</v>
      </c>
      <c r="L44" s="448">
        <f t="shared" si="37"/>
        <v>5.2194990071847559E-2</v>
      </c>
      <c r="M44" s="457">
        <f t="shared" si="37"/>
        <v>8.3394611357250722E-2</v>
      </c>
      <c r="N44" s="448">
        <f t="shared" si="37"/>
        <v>0.1472893548839519</v>
      </c>
      <c r="O44" s="448">
        <f t="shared" si="37"/>
        <v>0.11401033084878319</v>
      </c>
      <c r="P44" s="448">
        <f t="shared" si="37"/>
        <v>0.11924152809693093</v>
      </c>
      <c r="Q44" s="448">
        <f t="shared" si="37"/>
        <v>0.13050584546180344</v>
      </c>
    </row>
    <row r="45" spans="2:17">
      <c r="B45" s="15"/>
      <c r="C45" s="268">
        <f>C44/C$10</f>
        <v>0.10871232436563756</v>
      </c>
      <c r="D45" s="268">
        <f t="shared" ref="D45:I45" si="38">D44/D$10</f>
        <v>5.2194990071847559E-2</v>
      </c>
      <c r="E45" s="463">
        <f t="shared" si="38"/>
        <v>8.3394611357250722E-2</v>
      </c>
      <c r="F45" s="268">
        <f t="shared" si="38"/>
        <v>0.1472893548839519</v>
      </c>
      <c r="G45" s="268">
        <f t="shared" si="38"/>
        <v>0.11401033084878319</v>
      </c>
      <c r="H45" s="268">
        <f t="shared" si="38"/>
        <v>0.11924152809693093</v>
      </c>
      <c r="I45" s="268">
        <f t="shared" si="38"/>
        <v>0.13050584546180344</v>
      </c>
      <c r="J45" s="268"/>
      <c r="K45" s="23"/>
      <c r="L45" s="23"/>
      <c r="M45" s="456"/>
      <c r="N45" s="23"/>
      <c r="O45" s="23"/>
      <c r="P45" s="23"/>
      <c r="Q45" s="23"/>
    </row>
    <row r="46" spans="2:17">
      <c r="B46" s="8" t="s">
        <v>172</v>
      </c>
      <c r="C46" s="10">
        <f>SUM(C47:C48)</f>
        <v>1.4873000000000001E-2</v>
      </c>
      <c r="D46" s="10">
        <f t="shared" ref="D46" si="39">SUM(D47:D48)</f>
        <v>5.4975999999999997E-2</v>
      </c>
      <c r="E46" s="460">
        <f>SUM(E47:E48)</f>
        <v>3.5214851999999999</v>
      </c>
      <c r="F46" s="10">
        <f>'Tax Calculation'!B27</f>
        <v>11.774405418110673</v>
      </c>
      <c r="G46" s="10">
        <f>'Tax Calculation'!C27</f>
        <v>16.558869185495762</v>
      </c>
      <c r="H46" s="10">
        <f>'Tax Calculation'!D27</f>
        <v>26.534931934239513</v>
      </c>
      <c r="I46" s="10">
        <f>'Tax Calculation'!E27</f>
        <v>42.678777994933554</v>
      </c>
      <c r="J46" s="10"/>
      <c r="K46" s="447">
        <f>C46/C$10</f>
        <v>2.8499646068235932E-4</v>
      </c>
      <c r="L46" s="447">
        <f t="shared" ref="L46:Q46" si="40">D46/D$10</f>
        <v>1.0231020732148523E-3</v>
      </c>
      <c r="M46" s="454">
        <f t="shared" si="40"/>
        <v>2.3145140374546104E-2</v>
      </c>
      <c r="N46" s="447">
        <f t="shared" si="40"/>
        <v>3.887308812884388E-2</v>
      </c>
      <c r="O46" s="447">
        <f t="shared" si="40"/>
        <v>3.7397553158007996E-2</v>
      </c>
      <c r="P46" s="447">
        <f t="shared" si="40"/>
        <v>4.0379668101522444E-2</v>
      </c>
      <c r="Q46" s="447">
        <f t="shared" si="40"/>
        <v>4.4855982008701306E-2</v>
      </c>
    </row>
    <row r="47" spans="2:17" s="30" customFormat="1" ht="10">
      <c r="B47" s="449" t="s">
        <v>173</v>
      </c>
      <c r="C47" s="450">
        <v>0</v>
      </c>
      <c r="D47" s="450">
        <v>2.3585999999999999E-2</v>
      </c>
      <c r="E47" s="458">
        <v>3.5054851999999999</v>
      </c>
      <c r="F47" s="450"/>
      <c r="G47" s="450"/>
      <c r="H47" s="450"/>
      <c r="I47" s="450"/>
      <c r="J47" s="450"/>
      <c r="K47" s="450"/>
      <c r="L47" s="450"/>
      <c r="M47" s="458"/>
      <c r="N47" s="450"/>
      <c r="O47" s="450"/>
      <c r="P47" s="450"/>
      <c r="Q47" s="450"/>
    </row>
    <row r="48" spans="2:17" s="30" customFormat="1" ht="10">
      <c r="B48" s="449" t="s">
        <v>174</v>
      </c>
      <c r="C48" s="450">
        <v>1.4873000000000001E-2</v>
      </c>
      <c r="D48" s="450">
        <v>3.1390000000000001E-2</v>
      </c>
      <c r="E48" s="458">
        <v>1.6E-2</v>
      </c>
      <c r="F48" s="450"/>
      <c r="G48" s="450"/>
      <c r="H48" s="450"/>
      <c r="I48" s="450"/>
      <c r="J48" s="450"/>
      <c r="K48" s="450"/>
      <c r="L48" s="450"/>
      <c r="M48" s="458"/>
      <c r="N48" s="450"/>
      <c r="O48" s="450"/>
      <c r="P48" s="450"/>
      <c r="Q48" s="450"/>
    </row>
    <row r="49" spans="2:17" ht="12" thickBot="1">
      <c r="B49" s="13" t="s">
        <v>175</v>
      </c>
      <c r="C49" s="14">
        <f>C44-C46</f>
        <v>5.6584549999999973</v>
      </c>
      <c r="D49" s="14">
        <f>D44-D46</f>
        <v>2.7497019000000127</v>
      </c>
      <c r="E49" s="464">
        <f>E44-E46</f>
        <v>9.1668323000000171</v>
      </c>
      <c r="F49" s="14">
        <f>F44-F46</f>
        <v>32.838581654784548</v>
      </c>
      <c r="G49" s="14">
        <f t="shared" ref="G49:H49" si="41">G44-G46</f>
        <v>33.922565959301608</v>
      </c>
      <c r="H49" s="14">
        <f t="shared" si="41"/>
        <v>51.822964020518853</v>
      </c>
      <c r="I49" s="14">
        <f>I44-I46</f>
        <v>81.49262024633029</v>
      </c>
      <c r="J49" s="23"/>
      <c r="K49" s="694">
        <f>C49/C$10</f>
        <v>0.1084273279049552</v>
      </c>
      <c r="L49" s="694">
        <f t="shared" ref="L49:Q49" si="42">D49/D$10</f>
        <v>5.117188799863271E-2</v>
      </c>
      <c r="M49" s="695">
        <f t="shared" si="42"/>
        <v>6.0249470982704612E-2</v>
      </c>
      <c r="N49" s="1009">
        <f t="shared" si="42"/>
        <v>0.108416266755108</v>
      </c>
      <c r="O49" s="694">
        <f t="shared" si="42"/>
        <v>7.661277769077518E-2</v>
      </c>
      <c r="P49" s="694">
        <f t="shared" si="42"/>
        <v>7.8861859995408498E-2</v>
      </c>
      <c r="Q49" s="694">
        <f t="shared" si="42"/>
        <v>8.5649863453102132E-2</v>
      </c>
    </row>
    <row r="50" spans="2:17" ht="12" thickTop="1">
      <c r="B50" s="8"/>
      <c r="C50" s="268">
        <f>C49/C$10</f>
        <v>0.1084273279049552</v>
      </c>
      <c r="D50" s="268">
        <f t="shared" ref="D50:I50" si="43">D49/D$10</f>
        <v>5.117188799863271E-2</v>
      </c>
      <c r="E50" s="268">
        <f t="shared" si="43"/>
        <v>6.0249470982704612E-2</v>
      </c>
      <c r="F50" s="268">
        <f t="shared" si="43"/>
        <v>0.108416266755108</v>
      </c>
      <c r="G50" s="268">
        <f t="shared" si="43"/>
        <v>7.661277769077518E-2</v>
      </c>
      <c r="H50" s="268">
        <f t="shared" si="43"/>
        <v>7.8861859995408498E-2</v>
      </c>
      <c r="I50" s="268">
        <f t="shared" si="43"/>
        <v>8.5649863453102132E-2</v>
      </c>
      <c r="J50" s="268"/>
    </row>
    <row r="51" spans="2:17" hidden="1">
      <c r="B51" s="634" t="s">
        <v>176</v>
      </c>
      <c r="C51" s="1004">
        <f>40902.99/10^4-C49</f>
        <v>-1.5681559999999974</v>
      </c>
      <c r="D51" s="1004">
        <f>27497021/10^7-D49</f>
        <v>1.9999998723818635E-7</v>
      </c>
      <c r="E51" s="1004">
        <f>91668323/10^7-E49</f>
        <v>-1.7763568394002505E-14</v>
      </c>
      <c r="F51" s="635"/>
      <c r="G51" s="635"/>
      <c r="H51" s="635"/>
      <c r="I51" s="635"/>
      <c r="J51" s="269"/>
    </row>
    <row r="52" spans="2:17">
      <c r="C52" s="270"/>
      <c r="D52" s="270"/>
      <c r="F52" s="1001"/>
      <c r="G52" s="1001"/>
      <c r="H52" s="1001"/>
      <c r="I52" s="1001"/>
    </row>
    <row r="53" spans="2:17">
      <c r="F53" s="270"/>
      <c r="G53" s="270"/>
      <c r="H53" s="270"/>
      <c r="I53" s="270"/>
    </row>
  </sheetData>
  <mergeCells count="1">
    <mergeCell ref="K3:Q3"/>
  </mergeCells>
  <pageMargins left="0.7" right="0.7" top="0.75" bottom="0.75" header="0.3" footer="0.3"/>
  <pageSetup orientation="portrait" r:id="rId1"/>
  <customProperties>
    <customPr name="OrphanNamesChecke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9FA6-C1B4-4099-B3D7-129364B43E4B}">
  <dimension ref="B1:Y49"/>
  <sheetViews>
    <sheetView showGridLines="0" topLeftCell="A2" zoomScale="74" zoomScaleNormal="110" workbookViewId="0">
      <pane xSplit="2" ySplit="3" topLeftCell="C19" activePane="bottomRight" state="frozen"/>
      <selection pane="topRight" activeCell="E5" sqref="E5"/>
      <selection pane="bottomLeft" activeCell="E5" sqref="E5"/>
      <selection pane="bottomRight" activeCell="B44" sqref="B44"/>
    </sheetView>
  </sheetViews>
  <sheetFormatPr defaultColWidth="8.81640625" defaultRowHeight="12.5" outlineLevelRow="1"/>
  <cols>
    <col min="1" max="1" width="8.81640625" style="67" customWidth="1"/>
    <col min="2" max="2" width="52.54296875" style="67" customWidth="1"/>
    <col min="3" max="3" width="10" style="67" bestFit="1" customWidth="1"/>
    <col min="4" max="4" width="10" style="67" customWidth="1"/>
    <col min="5" max="5" width="12" style="67" bestFit="1" customWidth="1"/>
    <col min="6" max="6" width="14.54296875" style="67" bestFit="1" customWidth="1"/>
    <col min="7" max="7" width="13.54296875" style="67" customWidth="1"/>
    <col min="8" max="8" width="14.453125" style="67" customWidth="1"/>
    <col min="9" max="9" width="15.453125" style="67" customWidth="1"/>
    <col min="10" max="10" width="10.54296875" style="67" customWidth="1"/>
    <col min="11" max="11" width="10" style="67" customWidth="1"/>
    <col min="12" max="12" width="8.81640625" style="67"/>
    <col min="13" max="14" width="11" style="67" bestFit="1" customWidth="1"/>
    <col min="15" max="15" width="13.54296875" style="67" customWidth="1"/>
    <col min="16" max="16" width="11.54296875" style="67" customWidth="1"/>
    <col min="17" max="20" width="11.54296875" style="67" bestFit="1" customWidth="1"/>
    <col min="21" max="21" width="8.81640625" style="67"/>
    <col min="22" max="22" width="49.453125" style="67" bestFit="1" customWidth="1"/>
    <col min="23" max="24" width="9.54296875" style="67" bestFit="1" customWidth="1"/>
    <col min="25" max="27" width="8.81640625" style="67"/>
    <col min="28" max="28" width="0.81640625" style="67" customWidth="1"/>
    <col min="29" max="29" width="10" style="67" customWidth="1"/>
    <col min="30" max="30" width="10.453125" style="67" customWidth="1"/>
    <col min="31" max="31" width="11.1796875" style="67" customWidth="1"/>
    <col min="32" max="32" width="10.54296875" style="67" customWidth="1"/>
    <col min="33" max="33" width="10.1796875" style="67" customWidth="1"/>
    <col min="34" max="16384" width="8.81640625" style="67"/>
  </cols>
  <sheetData>
    <row r="1" spans="2:25" ht="19.5" hidden="1" customHeight="1" outlineLevel="1" thickBot="1">
      <c r="G1" s="520"/>
      <c r="I1" s="520"/>
      <c r="J1" s="528"/>
      <c r="X1" s="529" t="s">
        <v>145</v>
      </c>
      <c r="Y1" s="54">
        <v>72</v>
      </c>
    </row>
    <row r="2" spans="2:25" ht="13" collapsed="1">
      <c r="B2" s="530" t="s">
        <v>177</v>
      </c>
      <c r="C2" s="68"/>
      <c r="D2" s="68"/>
      <c r="H2" s="478"/>
      <c r="I2" s="478" t="s">
        <v>147</v>
      </c>
      <c r="M2" s="166">
        <v>100000</v>
      </c>
    </row>
    <row r="3" spans="2:25" ht="13">
      <c r="B3" s="466" t="s">
        <v>141</v>
      </c>
      <c r="C3" s="466"/>
      <c r="D3" s="466"/>
      <c r="E3" s="466"/>
      <c r="F3" s="466"/>
      <c r="G3" s="466"/>
      <c r="H3" s="466"/>
      <c r="I3" s="466"/>
    </row>
    <row r="4" spans="2:25" ht="26">
      <c r="B4" s="531" t="s">
        <v>149</v>
      </c>
      <c r="C4" s="532" t="s">
        <v>178</v>
      </c>
      <c r="D4" s="532" t="s">
        <v>179</v>
      </c>
      <c r="E4" s="533" t="s">
        <v>180</v>
      </c>
      <c r="F4" s="532" t="s">
        <v>181</v>
      </c>
      <c r="G4" s="532" t="s">
        <v>182</v>
      </c>
      <c r="H4" s="532" t="s">
        <v>183</v>
      </c>
      <c r="I4" s="532" t="s">
        <v>184</v>
      </c>
    </row>
    <row r="5" spans="2:25">
      <c r="B5" s="542" t="s">
        <v>185</v>
      </c>
      <c r="C5" s="534">
        <f>80707.54/10^4</f>
        <v>8.0707539999999991</v>
      </c>
      <c r="D5" s="534">
        <f>74636784/10^7</f>
        <v>7.4636784</v>
      </c>
      <c r="E5" s="535">
        <f>156277016/10^7</f>
        <v>15.6277016</v>
      </c>
      <c r="F5" s="536">
        <f>'Cash Flow Statement'!G34</f>
        <v>74.959276097584507</v>
      </c>
      <c r="G5" s="536">
        <f>'Cash Flow Statement'!H34</f>
        <v>8.0388950349802144</v>
      </c>
      <c r="H5" s="536">
        <f>'Cash Flow Statement'!I34</f>
        <v>-0.44135412839383292</v>
      </c>
      <c r="I5" s="536">
        <f>'Cash Flow Statement'!J34</f>
        <v>60.315651089160824</v>
      </c>
      <c r="J5" s="523"/>
      <c r="U5" s="523"/>
    </row>
    <row r="6" spans="2:25">
      <c r="B6" s="542" t="s">
        <v>186</v>
      </c>
      <c r="C6" s="534">
        <f>31844.94/10^4</f>
        <v>3.1844939999999999</v>
      </c>
      <c r="D6" s="536">
        <f>37738486/10^7</f>
        <v>3.7738486</v>
      </c>
      <c r="E6" s="535">
        <f>103492007/10^7</f>
        <v>10.349200700000001</v>
      </c>
      <c r="F6" s="536">
        <f>'WC Schedule'!H78</f>
        <v>23.060455421171667</v>
      </c>
      <c r="G6" s="536">
        <f>'WC Schedule'!I78</f>
        <v>45.944553006524394</v>
      </c>
      <c r="H6" s="536">
        <f>'WC Schedule'!J78</f>
        <v>65.088096537577883</v>
      </c>
      <c r="I6" s="536">
        <f>'WC Schedule'!K78</f>
        <v>89.022223699135139</v>
      </c>
      <c r="J6" s="523"/>
      <c r="K6" s="893"/>
      <c r="L6" s="893"/>
      <c r="M6" s="893"/>
      <c r="N6" s="893"/>
    </row>
    <row r="7" spans="2:25" s="478" customFormat="1" ht="13">
      <c r="B7" s="601" t="s">
        <v>187</v>
      </c>
      <c r="C7" s="537"/>
      <c r="D7" s="538"/>
      <c r="E7" s="539"/>
      <c r="F7" s="537">
        <f>'WC Schedule'!H79</f>
        <v>23.016791037610023</v>
      </c>
      <c r="G7" s="537">
        <f>'WC Schedule'!I79</f>
        <v>45.891580403784666</v>
      </c>
      <c r="H7" s="537">
        <f>'WC Schedule'!J79</f>
        <v>65.023000647166924</v>
      </c>
      <c r="I7" s="537">
        <f>'WC Schedule'!K79</f>
        <v>88.937011370368012</v>
      </c>
      <c r="J7" s="540"/>
    </row>
    <row r="8" spans="2:25" s="478" customFormat="1" ht="13">
      <c r="B8" s="601" t="s">
        <v>188</v>
      </c>
      <c r="C8" s="537"/>
      <c r="D8" s="538"/>
      <c r="E8" s="539"/>
      <c r="F8" s="537">
        <f>'WC Schedule'!H80</f>
        <v>4.3664383561643837E-2</v>
      </c>
      <c r="G8" s="537">
        <f>'WC Schedule'!I80</f>
        <v>5.2972602739726017E-2</v>
      </c>
      <c r="H8" s="537">
        <f>'WC Schedule'!J80</f>
        <v>6.5095890410958909E-2</v>
      </c>
      <c r="I8" s="537">
        <f>'WC Schedule'!K80</f>
        <v>8.5212328767123299E-2</v>
      </c>
      <c r="J8" s="540"/>
    </row>
    <row r="9" spans="2:25">
      <c r="B9" s="542" t="s">
        <v>189</v>
      </c>
      <c r="C9" s="534">
        <f>9916.18/10^4</f>
        <v>0.991618</v>
      </c>
      <c r="D9" s="536">
        <f>25865158/10^7</f>
        <v>2.5865157999999999</v>
      </c>
      <c r="E9" s="535">
        <f>148481667/10^7</f>
        <v>14.8481667</v>
      </c>
      <c r="F9" s="536">
        <f>'WC Schedule'!H84</f>
        <v>35</v>
      </c>
      <c r="G9" s="536">
        <f>'WC Schedule'!I84</f>
        <v>108.07654348528419</v>
      </c>
      <c r="H9" s="536">
        <f>'WC Schedule'!J84</f>
        <v>145.13970944581715</v>
      </c>
      <c r="I9" s="536">
        <f>'WC Schedule'!K84</f>
        <v>145.13970944581715</v>
      </c>
      <c r="J9" s="523"/>
    </row>
    <row r="10" spans="2:25">
      <c r="B10" s="542" t="s">
        <v>190</v>
      </c>
      <c r="C10" s="534">
        <f>34685.7/10^4</f>
        <v>3.4685699999999997</v>
      </c>
      <c r="D10" s="536">
        <f>120673957/10^7</f>
        <v>12.067395700000001</v>
      </c>
      <c r="E10" s="535">
        <f>46949284/10^7</f>
        <v>4.6949284000000002</v>
      </c>
      <c r="F10" s="536">
        <f>'WC Schedule'!H88</f>
        <v>12.365589624023295</v>
      </c>
      <c r="G10" s="536">
        <f>'WC Schedule'!I88</f>
        <v>17.530219186064365</v>
      </c>
      <c r="H10" s="536">
        <f>'WC Schedule'!J88</f>
        <v>24.001746973861632</v>
      </c>
      <c r="I10" s="536">
        <f>'WC Schedule'!K88</f>
        <v>24.001746973861632</v>
      </c>
      <c r="J10" s="67" t="s">
        <v>191</v>
      </c>
      <c r="K10" s="541"/>
    </row>
    <row r="11" spans="2:25">
      <c r="B11" s="542" t="s">
        <v>192</v>
      </c>
      <c r="C11" s="534">
        <f>53228.54/10^4-C10</f>
        <v>1.8542840000000007</v>
      </c>
      <c r="D11" s="536">
        <f>150115188/10^7-D10</f>
        <v>2.9441230999999988</v>
      </c>
      <c r="E11" s="535">
        <f>76025596/10^7-E10</f>
        <v>2.9076312</v>
      </c>
      <c r="F11" s="536">
        <f>E11</f>
        <v>2.9076312</v>
      </c>
      <c r="G11" s="536">
        <f t="shared" ref="G11:I11" si="0">F11</f>
        <v>2.9076312</v>
      </c>
      <c r="H11" s="536">
        <f t="shared" si="0"/>
        <v>2.9076312</v>
      </c>
      <c r="I11" s="536">
        <f t="shared" si="0"/>
        <v>2.9076312</v>
      </c>
      <c r="K11" s="541"/>
    </row>
    <row r="12" spans="2:25" ht="13">
      <c r="B12" s="543" t="s">
        <v>193</v>
      </c>
      <c r="C12" s="546">
        <f t="shared" ref="C12:I12" si="1">SUM(C5:C6,C9:C11)</f>
        <v>17.56972</v>
      </c>
      <c r="D12" s="546">
        <f t="shared" si="1"/>
        <v>28.835561599999998</v>
      </c>
      <c r="E12" s="578">
        <f t="shared" si="1"/>
        <v>48.427628599999998</v>
      </c>
      <c r="F12" s="546">
        <f t="shared" si="1"/>
        <v>148.29295234277947</v>
      </c>
      <c r="G12" s="546">
        <f t="shared" si="1"/>
        <v>182.49784191285315</v>
      </c>
      <c r="H12" s="546">
        <f t="shared" si="1"/>
        <v>236.69583002886282</v>
      </c>
      <c r="I12" s="546">
        <f t="shared" si="1"/>
        <v>321.38696240797481</v>
      </c>
      <c r="J12" s="523"/>
    </row>
    <row r="13" spans="2:25" ht="13">
      <c r="B13" s="547"/>
      <c r="C13" s="548"/>
      <c r="D13" s="548"/>
      <c r="E13" s="549"/>
      <c r="F13" s="550"/>
      <c r="G13" s="550"/>
      <c r="H13" s="550"/>
      <c r="I13" s="550"/>
      <c r="J13" s="523"/>
    </row>
    <row r="14" spans="2:25">
      <c r="B14" s="542" t="s">
        <v>194</v>
      </c>
      <c r="C14" s="536">
        <v>0.69408100000000006</v>
      </c>
      <c r="D14" s="536">
        <v>1.6284162000000002</v>
      </c>
      <c r="E14" s="535">
        <v>1.9039701000000002</v>
      </c>
      <c r="F14" s="536">
        <f>Capex!H57</f>
        <v>41.978557400979994</v>
      </c>
      <c r="G14" s="536">
        <f>Capex!H78</f>
        <v>42.444835191473111</v>
      </c>
      <c r="H14" s="551">
        <f>Capex!H98</f>
        <v>41.94437841214382</v>
      </c>
      <c r="I14" s="536">
        <f>Capex!H117</f>
        <v>41.44858619094439</v>
      </c>
      <c r="J14" s="523"/>
    </row>
    <row r="15" spans="2:25">
      <c r="B15" s="542" t="s">
        <v>195</v>
      </c>
      <c r="C15" s="536"/>
      <c r="D15" s="536"/>
      <c r="E15" s="535"/>
      <c r="F15" s="536"/>
      <c r="G15" s="536"/>
      <c r="H15" s="536"/>
      <c r="I15" s="536"/>
      <c r="J15" s="523"/>
    </row>
    <row r="16" spans="2:25">
      <c r="B16" s="600" t="s">
        <v>196</v>
      </c>
      <c r="C16" s="536">
        <v>0</v>
      </c>
      <c r="D16" s="536">
        <f>4912941/10^7</f>
        <v>0.49129410000000001</v>
      </c>
      <c r="E16" s="535">
        <v>0</v>
      </c>
      <c r="F16" s="536">
        <f>E16</f>
        <v>0</v>
      </c>
      <c r="G16" s="536">
        <f t="shared" ref="G16:I16" si="2">F16</f>
        <v>0</v>
      </c>
      <c r="H16" s="536">
        <f t="shared" si="2"/>
        <v>0</v>
      </c>
      <c r="I16" s="536">
        <f t="shared" si="2"/>
        <v>0</v>
      </c>
      <c r="J16" s="523"/>
    </row>
    <row r="17" spans="2:13">
      <c r="B17" s="798" t="s">
        <v>197</v>
      </c>
      <c r="C17" s="536">
        <f>1018.6/10^4</f>
        <v>0.10186000000000001</v>
      </c>
      <c r="D17" s="536">
        <f>1021984/10^7</f>
        <v>0.10219839999999999</v>
      </c>
      <c r="E17" s="535">
        <f>806984/10^7</f>
        <v>8.0698400000000003E-2</v>
      </c>
      <c r="F17" s="536">
        <f>E17+('Warehouse Cost'!X41/10^7)+('Regional Office Cost'!D35/10^7)</f>
        <v>0.5173294464896</v>
      </c>
      <c r="G17" s="536">
        <f>F17+('Warehouse Cost'!AC41/10^7)+('Regional Office Cost'!E35/10^7)</f>
        <v>1.9344446197695999</v>
      </c>
      <c r="H17" s="536">
        <f>G17+('Warehouse Cost'!AH41/10^7)+('Regional Office Cost'!F35/10^7)</f>
        <v>2.2211812877918664</v>
      </c>
      <c r="I17" s="536">
        <f>H17+('Warehouse Cost'!AM41/10^7)+('Regional Office Cost'!G35/10^7)</f>
        <v>2.2211812877918664</v>
      </c>
      <c r="J17" s="523"/>
    </row>
    <row r="18" spans="2:13" ht="13">
      <c r="B18" s="543" t="s">
        <v>198</v>
      </c>
      <c r="C18" s="544">
        <f t="shared" ref="C18:I18" si="3">SUM(C14:C17)</f>
        <v>0.79594100000000001</v>
      </c>
      <c r="D18" s="544">
        <f t="shared" si="3"/>
        <v>2.2219087000000002</v>
      </c>
      <c r="E18" s="545">
        <f t="shared" si="3"/>
        <v>1.9846685000000002</v>
      </c>
      <c r="F18" s="546">
        <f t="shared" si="3"/>
        <v>42.495886847469592</v>
      </c>
      <c r="G18" s="546">
        <f t="shared" si="3"/>
        <v>44.379279811242711</v>
      </c>
      <c r="H18" s="546">
        <f t="shared" si="3"/>
        <v>44.165559699935685</v>
      </c>
      <c r="I18" s="546">
        <f t="shared" si="3"/>
        <v>43.669767478736254</v>
      </c>
      <c r="J18" s="523"/>
    </row>
    <row r="19" spans="2:13">
      <c r="B19" s="542"/>
      <c r="C19" s="552"/>
      <c r="D19" s="552"/>
      <c r="E19" s="553"/>
      <c r="F19" s="360"/>
      <c r="G19" s="360"/>
      <c r="H19" s="360"/>
      <c r="I19" s="360"/>
      <c r="J19" s="523"/>
    </row>
    <row r="20" spans="2:13" ht="13.5" thickBot="1">
      <c r="B20" s="554" t="s">
        <v>199</v>
      </c>
      <c r="C20" s="555">
        <f t="shared" ref="C20:I20" si="4">C18+C12</f>
        <v>18.365660999999999</v>
      </c>
      <c r="D20" s="555">
        <f t="shared" si="4"/>
        <v>31.057470299999999</v>
      </c>
      <c r="E20" s="556">
        <f t="shared" si="4"/>
        <v>50.412297099999996</v>
      </c>
      <c r="F20" s="555">
        <f>F18+F12</f>
        <v>190.78883919024906</v>
      </c>
      <c r="G20" s="555">
        <f t="shared" si="4"/>
        <v>226.87712172409584</v>
      </c>
      <c r="H20" s="555">
        <f t="shared" si="4"/>
        <v>280.86138972879849</v>
      </c>
      <c r="I20" s="555">
        <f t="shared" si="4"/>
        <v>365.05672988671108</v>
      </c>
      <c r="J20" s="523"/>
    </row>
    <row r="21" spans="2:13" ht="13" thickTop="1">
      <c r="B21" s="542"/>
      <c r="C21" s="552"/>
      <c r="D21" s="552"/>
      <c r="E21" s="553"/>
      <c r="F21" s="536"/>
      <c r="G21" s="536"/>
      <c r="H21" s="536"/>
      <c r="I21" s="536"/>
      <c r="J21" s="523"/>
    </row>
    <row r="22" spans="2:13">
      <c r="B22" s="542" t="s">
        <v>200</v>
      </c>
      <c r="C22" s="536">
        <f>(64585.49)/10^4</f>
        <v>6.4585489999999997</v>
      </c>
      <c r="D22" s="536">
        <f>162538720/10^7</f>
        <v>16.253872000000001</v>
      </c>
      <c r="E22" s="535">
        <f>164108382/10^7</f>
        <v>16.410838200000001</v>
      </c>
      <c r="F22" s="536">
        <v>0</v>
      </c>
      <c r="G22" s="536">
        <v>0</v>
      </c>
      <c r="H22" s="536">
        <v>0</v>
      </c>
      <c r="I22" s="536">
        <v>0</v>
      </c>
      <c r="J22" s="523"/>
    </row>
    <row r="23" spans="2:13">
      <c r="B23" s="542" t="s">
        <v>201</v>
      </c>
      <c r="C23" s="536">
        <f>15754.35/10^4</f>
        <v>1.5754350000000001</v>
      </c>
      <c r="D23" s="536">
        <f>10693396/10^7</f>
        <v>1.0693395999999999</v>
      </c>
      <c r="E23" s="535">
        <f>72306884/10^7</f>
        <v>7.2306884</v>
      </c>
      <c r="F23" s="536">
        <f>'WC Schedule'!H82</f>
        <v>0</v>
      </c>
      <c r="G23" s="536">
        <f>'WC Schedule'!I82</f>
        <v>0</v>
      </c>
      <c r="H23" s="536">
        <f>'WC Schedule'!J82</f>
        <v>0</v>
      </c>
      <c r="I23" s="536">
        <f>'WC Schedule'!K82</f>
        <v>0</v>
      </c>
      <c r="J23" s="523"/>
    </row>
    <row r="24" spans="2:13">
      <c r="B24" s="542" t="s">
        <v>202</v>
      </c>
      <c r="C24" s="536">
        <f>4387.56/10^4</f>
        <v>0.43875600000000003</v>
      </c>
      <c r="D24" s="536">
        <f>9338757/10^7</f>
        <v>0.93387569999999998</v>
      </c>
      <c r="E24" s="535">
        <f>18446254/10^7</f>
        <v>1.8446254</v>
      </c>
      <c r="F24" s="536">
        <f>'WC Schedule'!H86</f>
        <v>3.0241124354645001</v>
      </c>
      <c r="G24" s="536">
        <f>'WC Schedule'!I86</f>
        <v>5.1898290100097064</v>
      </c>
      <c r="H24" s="536">
        <f>'WC Schedule'!J86</f>
        <v>7.3511329941934855</v>
      </c>
      <c r="I24" s="536">
        <f>'WC Schedule'!K86</f>
        <v>10.053852905775681</v>
      </c>
    </row>
    <row r="25" spans="2:13">
      <c r="B25" s="542" t="s">
        <v>203</v>
      </c>
      <c r="C25" s="536">
        <f>2781.89/10^4</f>
        <v>0.27818899999999996</v>
      </c>
      <c r="D25" s="536">
        <f>3256230/10^7</f>
        <v>0.325623</v>
      </c>
      <c r="E25" s="535">
        <f>33699812/10^7</f>
        <v>3.3699811999999998</v>
      </c>
      <c r="F25" s="536">
        <f>E25</f>
        <v>3.3699811999999998</v>
      </c>
      <c r="G25" s="536">
        <f t="shared" ref="G25:I25" si="5">F25</f>
        <v>3.3699811999999998</v>
      </c>
      <c r="H25" s="536">
        <f t="shared" si="5"/>
        <v>3.3699811999999998</v>
      </c>
      <c r="I25" s="536">
        <f t="shared" si="5"/>
        <v>3.3699811999999998</v>
      </c>
      <c r="J25" s="523"/>
    </row>
    <row r="26" spans="2:13">
      <c r="B26" s="542" t="s">
        <v>204</v>
      </c>
      <c r="C26" s="536">
        <f>4717.34/10^4-C24</f>
        <v>3.2978000000000007E-2</v>
      </c>
      <c r="D26" s="536">
        <f>10457904/10^7-D24</f>
        <v>0.11191470000000003</v>
      </c>
      <c r="E26" s="535">
        <f>18551117/10^7-E24</f>
        <v>1.0486299999999948E-2</v>
      </c>
      <c r="F26" s="577">
        <f>E26</f>
        <v>1.0486299999999948E-2</v>
      </c>
      <c r="G26" s="536">
        <f>F26</f>
        <v>1.0486299999999948E-2</v>
      </c>
      <c r="H26" s="536">
        <f>G26</f>
        <v>1.0486299999999948E-2</v>
      </c>
      <c r="I26" s="536">
        <f>H26</f>
        <v>1.0486299999999948E-2</v>
      </c>
    </row>
    <row r="27" spans="2:13" ht="13">
      <c r="B27" s="543" t="s">
        <v>205</v>
      </c>
      <c r="C27" s="544">
        <f>SUM(C22:C26)</f>
        <v>8.7839069999999992</v>
      </c>
      <c r="D27" s="544">
        <f>SUM(D22:D26)</f>
        <v>18.694625000000002</v>
      </c>
      <c r="E27" s="545">
        <f t="shared" ref="E27:I27" si="6">SUM(E22:E26)</f>
        <v>28.866619499999995</v>
      </c>
      <c r="F27" s="546">
        <f t="shared" si="6"/>
        <v>6.4045799354645006</v>
      </c>
      <c r="G27" s="546">
        <f t="shared" si="6"/>
        <v>8.5702965100097064</v>
      </c>
      <c r="H27" s="546">
        <f t="shared" si="6"/>
        <v>10.731600494193486</v>
      </c>
      <c r="I27" s="546">
        <f t="shared" si="6"/>
        <v>13.434320405775681</v>
      </c>
    </row>
    <row r="28" spans="2:13">
      <c r="B28" s="542" t="s">
        <v>206</v>
      </c>
      <c r="C28" s="536">
        <v>0</v>
      </c>
      <c r="D28" s="536">
        <v>0</v>
      </c>
      <c r="E28" s="535">
        <v>0</v>
      </c>
      <c r="F28" s="536">
        <v>0</v>
      </c>
      <c r="G28" s="536">
        <v>0</v>
      </c>
      <c r="H28" s="536">
        <v>0</v>
      </c>
      <c r="I28" s="536">
        <v>0</v>
      </c>
      <c r="J28" s="523"/>
      <c r="M28" s="574"/>
    </row>
    <row r="29" spans="2:13">
      <c r="B29" s="542" t="s">
        <v>207</v>
      </c>
      <c r="C29" s="536">
        <v>0</v>
      </c>
      <c r="D29" s="536">
        <v>0</v>
      </c>
      <c r="E29" s="535">
        <v>0</v>
      </c>
      <c r="F29" s="536">
        <f>E29</f>
        <v>0</v>
      </c>
      <c r="G29" s="536">
        <f t="shared" ref="G29:I31" si="7">F29</f>
        <v>0</v>
      </c>
      <c r="H29" s="536">
        <f t="shared" si="7"/>
        <v>0</v>
      </c>
      <c r="I29" s="536">
        <f t="shared" si="7"/>
        <v>0</v>
      </c>
      <c r="J29" s="523"/>
      <c r="K29" s="523"/>
    </row>
    <row r="30" spans="2:13">
      <c r="B30" s="542" t="s">
        <v>208</v>
      </c>
      <c r="C30" s="536">
        <v>0</v>
      </c>
      <c r="D30" s="536">
        <v>5.2605199999999998E-2</v>
      </c>
      <c r="E30" s="535">
        <v>6.8605200000000005E-2</v>
      </c>
      <c r="F30" s="536">
        <f>E30</f>
        <v>6.8605200000000005E-2</v>
      </c>
      <c r="G30" s="536">
        <f t="shared" ref="G30" si="8">F30</f>
        <v>6.8605200000000005E-2</v>
      </c>
      <c r="H30" s="536">
        <f t="shared" ref="H30" si="9">G30</f>
        <v>6.8605200000000005E-2</v>
      </c>
      <c r="I30" s="536">
        <f t="shared" ref="I30" si="10">H30</f>
        <v>6.8605200000000005E-2</v>
      </c>
      <c r="J30" s="523"/>
      <c r="K30" s="523"/>
    </row>
    <row r="31" spans="2:13">
      <c r="B31" s="542" t="s">
        <v>209</v>
      </c>
      <c r="C31" s="536">
        <v>0</v>
      </c>
      <c r="D31" s="536">
        <v>0</v>
      </c>
      <c r="E31" s="535">
        <v>0</v>
      </c>
      <c r="F31" s="536">
        <f>E31</f>
        <v>0</v>
      </c>
      <c r="G31" s="536">
        <f t="shared" si="7"/>
        <v>0</v>
      </c>
      <c r="H31" s="536">
        <f t="shared" si="7"/>
        <v>0</v>
      </c>
      <c r="I31" s="536">
        <f t="shared" si="7"/>
        <v>0</v>
      </c>
      <c r="J31" s="523"/>
      <c r="K31" s="523"/>
    </row>
    <row r="32" spans="2:13" ht="13">
      <c r="B32" s="543" t="s">
        <v>210</v>
      </c>
      <c r="C32" s="557">
        <f t="shared" ref="C32:I32" si="11">SUM(C28:C31)</f>
        <v>0</v>
      </c>
      <c r="D32" s="557">
        <f t="shared" si="11"/>
        <v>5.2605199999999998E-2</v>
      </c>
      <c r="E32" s="558">
        <f t="shared" si="11"/>
        <v>6.8605200000000005E-2</v>
      </c>
      <c r="F32" s="546">
        <f t="shared" si="11"/>
        <v>6.8605200000000005E-2</v>
      </c>
      <c r="G32" s="546">
        <f t="shared" si="11"/>
        <v>6.8605200000000005E-2</v>
      </c>
      <c r="H32" s="546">
        <f t="shared" si="11"/>
        <v>6.8605200000000005E-2</v>
      </c>
      <c r="I32" s="546">
        <f t="shared" si="11"/>
        <v>6.8605200000000005E-2</v>
      </c>
      <c r="J32" s="523"/>
    </row>
    <row r="33" spans="2:10" ht="13">
      <c r="B33" s="547"/>
      <c r="C33" s="559"/>
      <c r="D33" s="559"/>
      <c r="E33" s="560"/>
      <c r="F33" s="360"/>
      <c r="G33" s="360"/>
      <c r="H33" s="360"/>
      <c r="I33" s="360"/>
      <c r="J33" s="523"/>
    </row>
    <row r="34" spans="2:10">
      <c r="B34" s="598" t="s">
        <v>211</v>
      </c>
      <c r="C34" s="561">
        <f>5000/10^4</f>
        <v>0.5</v>
      </c>
      <c r="D34" s="561">
        <f>5000000/10^7</f>
        <v>0.5</v>
      </c>
      <c r="E34" s="562">
        <f>5000000/10^7</f>
        <v>0.5</v>
      </c>
      <c r="F34" s="561">
        <f>E34+130</f>
        <v>130.5</v>
      </c>
      <c r="G34" s="561">
        <f t="shared" ref="G34:I34" si="12">F34</f>
        <v>130.5</v>
      </c>
      <c r="H34" s="561">
        <f t="shared" si="12"/>
        <v>130.5</v>
      </c>
      <c r="I34" s="561">
        <f t="shared" si="12"/>
        <v>130.5</v>
      </c>
      <c r="J34" s="523"/>
    </row>
    <row r="35" spans="2:10">
      <c r="B35" s="542" t="s">
        <v>212</v>
      </c>
      <c r="C35" s="563">
        <f>90605.38/10^4</f>
        <v>9.0605380000000011</v>
      </c>
      <c r="D35" s="563">
        <f>118102400/10^7</f>
        <v>11.81024</v>
      </c>
      <c r="E35" s="564">
        <f>D35+D36</f>
        <v>11.81024</v>
      </c>
      <c r="F35" s="536">
        <f>SUM(E35:E36)</f>
        <v>20.977072300000017</v>
      </c>
      <c r="G35" s="536">
        <f>SUM(F35:F36)</f>
        <v>53.815653954784565</v>
      </c>
      <c r="H35" s="536">
        <f>SUM(G35:G36)</f>
        <v>87.738219914086173</v>
      </c>
      <c r="I35" s="536">
        <f t="shared" ref="I35" si="13">SUM(H35:H36)</f>
        <v>139.56118393460503</v>
      </c>
      <c r="J35" s="523"/>
    </row>
    <row r="36" spans="2:10">
      <c r="B36" s="542" t="s">
        <v>213</v>
      </c>
      <c r="C36" s="563"/>
      <c r="D36" s="563"/>
      <c r="E36" s="564">
        <f>'P&amp;L'!E49</f>
        <v>9.1668323000000171</v>
      </c>
      <c r="F36" s="563">
        <f>'P&amp;L'!F49</f>
        <v>32.838581654784548</v>
      </c>
      <c r="G36" s="563">
        <f>'P&amp;L'!G49</f>
        <v>33.922565959301608</v>
      </c>
      <c r="H36" s="563">
        <f>'P&amp;L'!H49</f>
        <v>51.822964020518853</v>
      </c>
      <c r="I36" s="563">
        <f>'P&amp;L'!I49</f>
        <v>81.49262024633029</v>
      </c>
      <c r="J36" s="523"/>
    </row>
    <row r="37" spans="2:10">
      <c r="B37" s="542" t="s">
        <v>214</v>
      </c>
      <c r="C37" s="563"/>
      <c r="D37" s="563"/>
      <c r="E37" s="564">
        <f>D37</f>
        <v>0</v>
      </c>
      <c r="F37" s="536">
        <f t="shared" ref="F37:I37" si="14">E37</f>
        <v>0</v>
      </c>
      <c r="G37" s="536">
        <f t="shared" si="14"/>
        <v>0</v>
      </c>
      <c r="H37" s="536">
        <f t="shared" si="14"/>
        <v>0</v>
      </c>
      <c r="I37" s="536">
        <f t="shared" si="14"/>
        <v>0</v>
      </c>
      <c r="J37" s="523"/>
    </row>
    <row r="38" spans="2:10" ht="13">
      <c r="B38" s="599" t="s">
        <v>215</v>
      </c>
      <c r="C38" s="565">
        <f t="shared" ref="C38:I38" si="15">SUM(C34:C37)</f>
        <v>9.5605380000000011</v>
      </c>
      <c r="D38" s="565">
        <f t="shared" si="15"/>
        <v>12.31024</v>
      </c>
      <c r="E38" s="566">
        <f t="shared" si="15"/>
        <v>21.477072300000017</v>
      </c>
      <c r="F38" s="546">
        <f t="shared" si="15"/>
        <v>184.31565395478458</v>
      </c>
      <c r="G38" s="546">
        <f t="shared" si="15"/>
        <v>218.23821991408619</v>
      </c>
      <c r="H38" s="546">
        <f t="shared" si="15"/>
        <v>270.06118393460503</v>
      </c>
      <c r="I38" s="546">
        <f t="shared" si="15"/>
        <v>351.55380418093534</v>
      </c>
      <c r="J38" s="523"/>
    </row>
    <row r="39" spans="2:10">
      <c r="B39" s="542"/>
      <c r="C39" s="563"/>
      <c r="D39" s="563"/>
      <c r="E39" s="564"/>
      <c r="F39" s="360"/>
      <c r="G39" s="360"/>
      <c r="H39" s="360"/>
      <c r="I39" s="360"/>
      <c r="J39" s="523"/>
    </row>
    <row r="40" spans="2:10" ht="13.5" thickBot="1">
      <c r="B40" s="567" t="s">
        <v>216</v>
      </c>
      <c r="C40" s="568">
        <f>C27+C32+C38</f>
        <v>18.344445</v>
      </c>
      <c r="D40" s="568">
        <f>D27+D32+D38</f>
        <v>31.057470200000001</v>
      </c>
      <c r="E40" s="569">
        <f>E38+E32+E27</f>
        <v>50.412297000000009</v>
      </c>
      <c r="F40" s="570">
        <f>F38+F32+F27</f>
        <v>190.7888390902491</v>
      </c>
      <c r="G40" s="570">
        <f>G38+G32+G27</f>
        <v>226.87712162409591</v>
      </c>
      <c r="H40" s="570">
        <f>H38+H32+H27</f>
        <v>280.86138962879852</v>
      </c>
      <c r="I40" s="570">
        <f>I38+I32+I27</f>
        <v>365.056729786711</v>
      </c>
      <c r="J40" s="523"/>
    </row>
    <row r="41" spans="2:10">
      <c r="B41" s="542"/>
      <c r="C41" s="542"/>
      <c r="D41" s="542"/>
      <c r="E41" s="542"/>
    </row>
    <row r="42" spans="2:10" ht="13" hidden="1">
      <c r="B42" s="571" t="s">
        <v>176</v>
      </c>
      <c r="C42" s="572">
        <f t="shared" ref="C42:I42" si="16">C20-C40</f>
        <v>2.1215999999999013E-2</v>
      </c>
      <c r="D42" s="573">
        <f t="shared" si="16"/>
        <v>9.9999997615896064E-8</v>
      </c>
      <c r="E42" s="572">
        <f>E20-E40</f>
        <v>9.9999986957755027E-8</v>
      </c>
      <c r="F42" s="572">
        <f>F20-F40</f>
        <v>9.9999965641472954E-8</v>
      </c>
      <c r="G42" s="572">
        <f t="shared" si="16"/>
        <v>9.9999937219763524E-8</v>
      </c>
      <c r="H42" s="572">
        <f t="shared" si="16"/>
        <v>9.9999965641472954E-8</v>
      </c>
      <c r="I42" s="572">
        <f t="shared" si="16"/>
        <v>1.0000007932831068E-7</v>
      </c>
    </row>
    <row r="43" spans="2:10">
      <c r="B43" s="68"/>
      <c r="C43" s="68"/>
      <c r="D43" s="68"/>
      <c r="E43" s="574"/>
      <c r="F43" s="523"/>
      <c r="G43" s="523"/>
      <c r="H43" s="523"/>
      <c r="I43" s="523"/>
    </row>
    <row r="44" spans="2:10">
      <c r="B44" s="575"/>
    </row>
    <row r="45" spans="2:10">
      <c r="B45" s="541"/>
    </row>
    <row r="46" spans="2:10">
      <c r="B46" s="575"/>
    </row>
    <row r="47" spans="2:10">
      <c r="B47" s="541"/>
    </row>
    <row r="48" spans="2:10">
      <c r="B48" s="575"/>
    </row>
    <row r="49" spans="2:2">
      <c r="B49" s="575"/>
    </row>
  </sheetData>
  <dataConsolidate/>
  <pageMargins left="0.7" right="0.7" top="0.75" bottom="0.75" header="0.3" footer="0.3"/>
  <pageSetup orientation="portrait" verticalDpi="0" r:id="rId1"/>
  <customProperties>
    <customPr name="OrphanNamesChecked" r:id="rId2"/>
  </customPropertie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61D8-924E-4F22-BA30-93EE92313FBC}">
  <dimension ref="B1:R40"/>
  <sheetViews>
    <sheetView showGridLines="0" topLeftCell="A2" zoomScale="90" zoomScaleNormal="90" workbookViewId="0">
      <pane xSplit="3" ySplit="3" topLeftCell="F5" activePane="bottomRight" state="frozen"/>
      <selection activeCell="F34" sqref="F34:H34"/>
      <selection pane="topRight" activeCell="F34" sqref="F34:H34"/>
      <selection pane="bottomLeft" activeCell="F34" sqref="F34:H34"/>
      <selection pane="bottomRight" activeCell="B21" sqref="B21"/>
    </sheetView>
  </sheetViews>
  <sheetFormatPr defaultColWidth="8.81640625" defaultRowHeight="14" outlineLevelRow="1"/>
  <cols>
    <col min="1" max="1" width="8.81640625" style="121"/>
    <col min="2" max="2" width="49.453125" style="121" bestFit="1" customWidth="1"/>
    <col min="3" max="3" width="8.81640625" style="121"/>
    <col min="4" max="4" width="0" style="121" hidden="1" customWidth="1"/>
    <col min="5" max="5" width="0" style="580" hidden="1" customWidth="1"/>
    <col min="6" max="6" width="11.54296875" style="121" customWidth="1"/>
    <col min="7" max="7" width="14.81640625" style="121" customWidth="1"/>
    <col min="8" max="8" width="12.453125" style="121" customWidth="1"/>
    <col min="9" max="9" width="11.453125" style="121" customWidth="1"/>
    <col min="10" max="10" width="15.453125" style="121" customWidth="1"/>
    <col min="11" max="11" width="8.81640625" style="67"/>
    <col min="12" max="16" width="8.81640625" style="121"/>
    <col min="17" max="17" width="5" style="121" customWidth="1"/>
    <col min="18" max="18" width="5.81640625" style="121" customWidth="1"/>
    <col min="19" max="19" width="11.453125" style="121" customWidth="1"/>
    <col min="20" max="20" width="10.54296875" style="121" customWidth="1"/>
    <col min="21" max="22" width="10.453125" style="121" customWidth="1"/>
    <col min="23" max="16384" width="8.81640625" style="121"/>
  </cols>
  <sheetData>
    <row r="1" spans="2:18" hidden="1" outlineLevel="1">
      <c r="N1" s="581" t="s">
        <v>217</v>
      </c>
      <c r="O1" s="2">
        <v>720</v>
      </c>
    </row>
    <row r="2" spans="2:18" ht="32.5" collapsed="1">
      <c r="B2" s="3" t="s">
        <v>218</v>
      </c>
      <c r="C2" s="56"/>
      <c r="D2" s="56"/>
      <c r="E2" s="252"/>
      <c r="I2" s="4"/>
      <c r="J2" s="4" t="s">
        <v>147</v>
      </c>
      <c r="R2" s="582">
        <v>100000</v>
      </c>
    </row>
    <row r="3" spans="2:18">
      <c r="B3" s="5" t="s">
        <v>219</v>
      </c>
      <c r="C3" s="5"/>
      <c r="D3" s="5"/>
      <c r="E3" s="253"/>
      <c r="F3" s="5"/>
      <c r="G3" s="5"/>
      <c r="H3" s="5"/>
      <c r="I3" s="5"/>
      <c r="J3" s="5"/>
    </row>
    <row r="4" spans="2:18" ht="23.5">
      <c r="B4" s="6" t="s">
        <v>149</v>
      </c>
      <c r="D4" s="16" t="str">
        <f>'Balance Sheet'!C4</f>
        <v>2022
Historical</v>
      </c>
      <c r="E4" s="254" t="str">
        <f>'Balance Sheet'!D4</f>
        <v>2023
Historical</v>
      </c>
      <c r="F4" s="7" t="str">
        <f>'Financial Analysis'!E4</f>
        <v>2024
Provisional</v>
      </c>
      <c r="G4" s="7" t="str">
        <f>'Financial Analysis'!F4</f>
        <v>2025
Forecasted</v>
      </c>
      <c r="H4" s="7" t="str">
        <f>'Financial Analysis'!G4</f>
        <v>2026
Forecasted</v>
      </c>
      <c r="I4" s="7" t="str">
        <f>'Financial Analysis'!H4</f>
        <v>2027
Forecasted</v>
      </c>
      <c r="J4" s="7" t="str">
        <f>'Financial Analysis'!I4</f>
        <v>2028
Forecasted</v>
      </c>
    </row>
    <row r="5" spans="2:18">
      <c r="B5" s="57" t="s">
        <v>220</v>
      </c>
      <c r="C5" s="57"/>
      <c r="D5" s="42"/>
      <c r="E5" s="42">
        <f>'P&amp;L'!D49</f>
        <v>2.7497019000000127</v>
      </c>
      <c r="F5" s="44">
        <f>'P&amp;L'!E49</f>
        <v>9.1668323000000171</v>
      </c>
      <c r="G5" s="42">
        <f>'P&amp;L'!F49</f>
        <v>32.838581654784548</v>
      </c>
      <c r="H5" s="42">
        <f>'P&amp;L'!G49</f>
        <v>33.922565959301608</v>
      </c>
      <c r="I5" s="42">
        <f>'P&amp;L'!H49</f>
        <v>51.822964020518853</v>
      </c>
      <c r="J5" s="42">
        <f>'P&amp;L'!I49</f>
        <v>81.49262024633029</v>
      </c>
    </row>
    <row r="6" spans="2:18">
      <c r="B6" s="39" t="s">
        <v>221</v>
      </c>
      <c r="C6" s="39"/>
      <c r="D6" s="39"/>
      <c r="E6" s="42"/>
      <c r="F6" s="39"/>
      <c r="G6" s="39"/>
      <c r="H6" s="39"/>
      <c r="I6" s="39"/>
      <c r="J6" s="39"/>
    </row>
    <row r="7" spans="2:18">
      <c r="B7" s="41" t="s">
        <v>222</v>
      </c>
      <c r="C7" s="39"/>
      <c r="D7" s="42"/>
      <c r="E7" s="42">
        <f>SUM('P&amp;L'!D47:D48)</f>
        <v>5.4975999999999997E-2</v>
      </c>
      <c r="F7" s="42">
        <f>'P&amp;L'!E46</f>
        <v>3.5214851999999999</v>
      </c>
      <c r="G7" s="42">
        <f>'P&amp;L'!F46</f>
        <v>11.774405418110673</v>
      </c>
      <c r="H7" s="42">
        <f>'P&amp;L'!G46</f>
        <v>16.558869185495762</v>
      </c>
      <c r="I7" s="42">
        <f>'P&amp;L'!H46</f>
        <v>26.534931934239513</v>
      </c>
      <c r="J7" s="42">
        <f>'P&amp;L'!I46</f>
        <v>42.678777994933554</v>
      </c>
    </row>
    <row r="8" spans="2:18">
      <c r="B8" s="41" t="s">
        <v>223</v>
      </c>
      <c r="C8" s="39"/>
      <c r="D8" s="42"/>
      <c r="E8" s="42">
        <f>'P&amp;L'!D40</f>
        <v>0.10425760000000001</v>
      </c>
      <c r="F8" s="58">
        <f>'P&amp;L'!E40</f>
        <v>0.21134339999999999</v>
      </c>
      <c r="G8" s="58">
        <f>'P&amp;L'!F40</f>
        <v>2.12541269902</v>
      </c>
      <c r="H8" s="58">
        <f>'P&amp;L'!G40</f>
        <v>2.8037222095068834</v>
      </c>
      <c r="I8" s="58">
        <f>'P&amp;L'!H40</f>
        <v>2.7904567793292969</v>
      </c>
      <c r="J8" s="58">
        <f>'P&amp;L'!I40</f>
        <v>2.7557922211994317</v>
      </c>
    </row>
    <row r="9" spans="2:18">
      <c r="B9" s="41" t="s">
        <v>224</v>
      </c>
      <c r="C9" s="39"/>
      <c r="D9" s="58"/>
      <c r="E9" s="58">
        <f>'P&amp;L'!D43</f>
        <v>1.2950987</v>
      </c>
      <c r="F9" s="58">
        <f>'P&amp;L'!E43</f>
        <v>1.33767328</v>
      </c>
      <c r="G9" s="58">
        <f>'P&amp;L'!F43</f>
        <v>0</v>
      </c>
      <c r="H9" s="58">
        <f>'P&amp;L'!G43</f>
        <v>0</v>
      </c>
      <c r="I9" s="58">
        <f>'P&amp;L'!H43</f>
        <v>0</v>
      </c>
      <c r="J9" s="58">
        <f>'P&amp;L'!I43</f>
        <v>0</v>
      </c>
    </row>
    <row r="10" spans="2:18">
      <c r="B10" s="57" t="s">
        <v>225</v>
      </c>
      <c r="C10" s="57"/>
      <c r="D10" s="59"/>
      <c r="E10" s="59">
        <f t="shared" ref="E10:J10" si="0">SUM(E5:E9)</f>
        <v>4.204034200000013</v>
      </c>
      <c r="F10" s="59">
        <f>SUM(F5:F9)</f>
        <v>14.237334180000019</v>
      </c>
      <c r="G10" s="59">
        <f t="shared" si="0"/>
        <v>46.738399771915226</v>
      </c>
      <c r="H10" s="59">
        <f t="shared" si="0"/>
        <v>53.28515735430426</v>
      </c>
      <c r="I10" s="59">
        <f t="shared" si="0"/>
        <v>81.148352734087666</v>
      </c>
      <c r="J10" s="59">
        <f t="shared" si="0"/>
        <v>126.92719046246327</v>
      </c>
    </row>
    <row r="11" spans="2:18">
      <c r="B11" s="39" t="s">
        <v>226</v>
      </c>
      <c r="C11" s="39"/>
      <c r="D11" s="39"/>
      <c r="E11" s="42"/>
      <c r="F11" s="39"/>
      <c r="G11" s="39"/>
      <c r="H11" s="39"/>
      <c r="I11" s="39"/>
      <c r="J11" s="39"/>
    </row>
    <row r="12" spans="2:18">
      <c r="B12" s="41" t="s">
        <v>227</v>
      </c>
      <c r="C12" s="39"/>
      <c r="D12" s="39"/>
      <c r="E12" s="58">
        <f>-('Balance Sheet'!D6-'Balance Sheet'!C6)</f>
        <v>-0.58935460000000006</v>
      </c>
      <c r="F12" s="58">
        <f>-('Balance Sheet'!E6-'Balance Sheet'!D6)</f>
        <v>-6.5753521000000008</v>
      </c>
      <c r="G12" s="58">
        <f>-('Balance Sheet'!F6-'Balance Sheet'!E6)</f>
        <v>-12.711254721171667</v>
      </c>
      <c r="H12" s="58">
        <f>-('Balance Sheet'!G6-'Balance Sheet'!F6)</f>
        <v>-22.884097585352727</v>
      </c>
      <c r="I12" s="58">
        <f>-('Balance Sheet'!H6-'Balance Sheet'!G6)</f>
        <v>-19.143543531053488</v>
      </c>
      <c r="J12" s="58">
        <f>-('Balance Sheet'!I6-'Balance Sheet'!H6)</f>
        <v>-23.934127161557257</v>
      </c>
    </row>
    <row r="13" spans="2:18">
      <c r="B13" s="41" t="s">
        <v>189</v>
      </c>
      <c r="C13" s="39"/>
      <c r="D13" s="39"/>
      <c r="E13" s="58">
        <f>-('Balance Sheet'!D9-'Balance Sheet'!C9)</f>
        <v>-1.5948978</v>
      </c>
      <c r="F13" s="58">
        <f>-('Balance Sheet'!E9-'Balance Sheet'!D9)</f>
        <v>-12.261650899999999</v>
      </c>
      <c r="G13" s="58">
        <f>-('Balance Sheet'!F9-'Balance Sheet'!E9)</f>
        <v>-20.1518333</v>
      </c>
      <c r="H13" s="58">
        <f>-('Balance Sheet'!G9-'Balance Sheet'!F9)</f>
        <v>-73.076543485284191</v>
      </c>
      <c r="I13" s="58">
        <f>-('Balance Sheet'!H9-'Balance Sheet'!G9)</f>
        <v>-37.063165960532956</v>
      </c>
      <c r="J13" s="58">
        <f>-('Balance Sheet'!I9-'Balance Sheet'!H9)</f>
        <v>0</v>
      </c>
    </row>
    <row r="14" spans="2:18">
      <c r="B14" s="41" t="s">
        <v>228</v>
      </c>
      <c r="C14" s="39"/>
      <c r="D14" s="39"/>
      <c r="E14" s="58">
        <f>-('Balance Sheet'!D10-'Balance Sheet'!C10)</f>
        <v>-8.5988257000000008</v>
      </c>
      <c r="F14" s="58">
        <f>-('Balance Sheet'!E10-'Balance Sheet'!D10)</f>
        <v>7.3724673000000003</v>
      </c>
      <c r="G14" s="58">
        <f>-('Balance Sheet'!F10-'Balance Sheet'!E10)</f>
        <v>-7.670661224023295</v>
      </c>
      <c r="H14" s="58">
        <f>-('Balance Sheet'!G10-'Balance Sheet'!F10)</f>
        <v>-5.1646295620410694</v>
      </c>
      <c r="I14" s="58">
        <f>-('Balance Sheet'!H10-'Balance Sheet'!G10)</f>
        <v>-6.4715277877972675</v>
      </c>
      <c r="J14" s="58">
        <f>-('Balance Sheet'!I10-'Balance Sheet'!H10)</f>
        <v>0</v>
      </c>
    </row>
    <row r="15" spans="2:18">
      <c r="B15" s="41" t="s">
        <v>229</v>
      </c>
      <c r="C15" s="39"/>
      <c r="D15" s="39"/>
      <c r="E15" s="58">
        <f>-('Balance Sheet'!D11-'Balance Sheet'!C11)</f>
        <v>-1.0898390999999981</v>
      </c>
      <c r="F15" s="58">
        <f>-('Balance Sheet'!E11-'Balance Sheet'!D11)</f>
        <v>3.64918999999988E-2</v>
      </c>
      <c r="G15" s="58">
        <f>-('Balance Sheet'!F11-'Balance Sheet'!E11)</f>
        <v>0</v>
      </c>
      <c r="H15" s="58">
        <f>-('Balance Sheet'!G11-'Balance Sheet'!F11)</f>
        <v>0</v>
      </c>
      <c r="I15" s="58">
        <f>-('Balance Sheet'!H11-'Balance Sheet'!G11)</f>
        <v>0</v>
      </c>
      <c r="J15" s="58">
        <f>-('Balance Sheet'!I11-'Balance Sheet'!H11)</f>
        <v>0</v>
      </c>
    </row>
    <row r="16" spans="2:18">
      <c r="B16" s="41" t="s">
        <v>201</v>
      </c>
      <c r="C16" s="39"/>
      <c r="D16" s="39"/>
      <c r="E16" s="58">
        <f>'Balance Sheet'!D23-'Balance Sheet'!C23</f>
        <v>-0.5060954000000002</v>
      </c>
      <c r="F16" s="58">
        <f>'Balance Sheet'!E23-'Balance Sheet'!D23</f>
        <v>6.1613487999999998</v>
      </c>
      <c r="G16" s="58">
        <f>'Balance Sheet'!F23-'Balance Sheet'!E23</f>
        <v>-7.2306884</v>
      </c>
      <c r="H16" s="58">
        <f>'Balance Sheet'!G23-'Balance Sheet'!F23</f>
        <v>0</v>
      </c>
      <c r="I16" s="58">
        <f>'Balance Sheet'!H23-'Balance Sheet'!G23</f>
        <v>0</v>
      </c>
      <c r="J16" s="58">
        <f>'Balance Sheet'!I23-'Balance Sheet'!H23</f>
        <v>0</v>
      </c>
    </row>
    <row r="17" spans="2:14">
      <c r="B17" s="41" t="s">
        <v>230</v>
      </c>
      <c r="C17" s="39"/>
      <c r="D17" s="39"/>
      <c r="E17" s="58">
        <f>'Balance Sheet'!D24-'Balance Sheet'!C24</f>
        <v>0.49511969999999994</v>
      </c>
      <c r="F17" s="58">
        <f>'Balance Sheet'!E24-'Balance Sheet'!D24</f>
        <v>0.9107497</v>
      </c>
      <c r="G17" s="58">
        <f>'Balance Sheet'!F24-'Balance Sheet'!E24</f>
        <v>1.1794870354645002</v>
      </c>
      <c r="H17" s="58">
        <f>'Balance Sheet'!G24-'Balance Sheet'!F24</f>
        <v>2.1657165745452063</v>
      </c>
      <c r="I17" s="58">
        <f>'Balance Sheet'!H24-'Balance Sheet'!G24</f>
        <v>2.1613039841837791</v>
      </c>
      <c r="J17" s="58">
        <f>'Balance Sheet'!I24-'Balance Sheet'!H24</f>
        <v>2.7027199115821956</v>
      </c>
    </row>
    <row r="18" spans="2:14">
      <c r="B18" s="41" t="s">
        <v>203</v>
      </c>
      <c r="C18" s="39"/>
      <c r="D18" s="39"/>
      <c r="E18" s="58">
        <f>'Balance Sheet'!D25-'Balance Sheet'!C25</f>
        <v>4.7434000000000032E-2</v>
      </c>
      <c r="F18" s="58">
        <f>'Balance Sheet'!E25-'Balance Sheet'!D25</f>
        <v>3.0443581999999996</v>
      </c>
      <c r="G18" s="58">
        <f>'Balance Sheet'!F25-'Balance Sheet'!E25</f>
        <v>0</v>
      </c>
      <c r="H18" s="58">
        <f>'Balance Sheet'!G25-'Balance Sheet'!F25</f>
        <v>0</v>
      </c>
      <c r="I18" s="58">
        <f>'Balance Sheet'!H25-'Balance Sheet'!G25</f>
        <v>0</v>
      </c>
      <c r="J18" s="58">
        <f>'Balance Sheet'!I25-'Balance Sheet'!H25</f>
        <v>0</v>
      </c>
    </row>
    <row r="19" spans="2:14">
      <c r="B19" s="41" t="s">
        <v>231</v>
      </c>
      <c r="C19" s="39"/>
      <c r="D19" s="39"/>
      <c r="E19" s="58">
        <f>'Balance Sheet'!D26-'Balance Sheet'!C26</f>
        <v>7.8936700000000026E-2</v>
      </c>
      <c r="F19" s="58">
        <f>'Balance Sheet'!E26-'Balance Sheet'!D26</f>
        <v>-0.10142840000000009</v>
      </c>
      <c r="G19" s="58">
        <f>'Balance Sheet'!F26-'Balance Sheet'!E26</f>
        <v>0</v>
      </c>
      <c r="H19" s="58">
        <f>'Balance Sheet'!G26-'Balance Sheet'!F26</f>
        <v>0</v>
      </c>
      <c r="I19" s="58">
        <f>'Balance Sheet'!H26-'Balance Sheet'!G26</f>
        <v>0</v>
      </c>
      <c r="J19" s="58">
        <f>'Balance Sheet'!I26-'Balance Sheet'!H26</f>
        <v>0</v>
      </c>
    </row>
    <row r="20" spans="2:14">
      <c r="B20" s="41" t="s">
        <v>232</v>
      </c>
      <c r="C20" s="39"/>
      <c r="D20" s="39"/>
      <c r="E20" s="58">
        <f>-'P&amp;L'!D47</f>
        <v>-2.3585999999999999E-2</v>
      </c>
      <c r="F20" s="58">
        <f>-'P&amp;L'!E47</f>
        <v>-3.5054851999999999</v>
      </c>
      <c r="G20" s="58">
        <f>-'P&amp;L'!F46</f>
        <v>-11.774405418110673</v>
      </c>
      <c r="H20" s="58">
        <f>-'P&amp;L'!G46</f>
        <v>-16.558869185495762</v>
      </c>
      <c r="I20" s="58">
        <f>-'P&amp;L'!H46</f>
        <v>-26.534931934239513</v>
      </c>
      <c r="J20" s="58">
        <f>-'P&amp;L'!I46</f>
        <v>-42.678777994933554</v>
      </c>
    </row>
    <row r="21" spans="2:14" ht="14.5" thickBot="1">
      <c r="B21" s="587" t="s">
        <v>233</v>
      </c>
      <c r="C21" s="588"/>
      <c r="D21" s="588"/>
      <c r="E21" s="589">
        <f>SUM(E10:E20)</f>
        <v>-7.5770739999999863</v>
      </c>
      <c r="F21" s="589">
        <f>SUM(F10:F20)</f>
        <v>9.3188334800000163</v>
      </c>
      <c r="G21" s="589">
        <f t="shared" ref="G21:J21" si="1">SUM(G10:G20)</f>
        <v>-11.620956255925911</v>
      </c>
      <c r="H21" s="589">
        <f t="shared" si="1"/>
        <v>-62.233265889324286</v>
      </c>
      <c r="I21" s="589">
        <f t="shared" si="1"/>
        <v>-5.9035124953517801</v>
      </c>
      <c r="J21" s="589">
        <f t="shared" si="1"/>
        <v>63.017005217554654</v>
      </c>
    </row>
    <row r="22" spans="2:14" ht="14.5" thickTop="1">
      <c r="B22" s="60" t="s">
        <v>234</v>
      </c>
      <c r="C22" s="61"/>
      <c r="D22" s="61"/>
      <c r="E22" s="62"/>
      <c r="F22" s="62">
        <f>-Capex!E37</f>
        <v>-0.48689729999999998</v>
      </c>
      <c r="G22" s="62">
        <f>-Capex!E57</f>
        <v>-42.2</v>
      </c>
      <c r="H22" s="62">
        <f>-Capex!E78</f>
        <v>-3.2700000000000005</v>
      </c>
      <c r="I22" s="62">
        <f>-Capex!E98</f>
        <v>-2.29</v>
      </c>
      <c r="J22" s="62">
        <f>-Capex!E117</f>
        <v>-2.2599999999999998</v>
      </c>
      <c r="K22" s="541"/>
      <c r="L22" s="583"/>
      <c r="M22" s="583"/>
      <c r="N22" s="583"/>
    </row>
    <row r="23" spans="2:14">
      <c r="B23" s="41" t="s">
        <v>235</v>
      </c>
      <c r="C23" s="39"/>
      <c r="D23" s="39"/>
      <c r="E23" s="58">
        <f>-(SUM('Balance Sheet'!D16:D17)-SUM('Balance Sheet'!C16:C17))</f>
        <v>-0.49163249999999997</v>
      </c>
      <c r="F23" s="58">
        <f>-(SUM('Balance Sheet'!E16:E17)-SUM('Balance Sheet'!D16:D17))</f>
        <v>0.51279410000000003</v>
      </c>
      <c r="G23" s="58">
        <f>-(SUM('Balance Sheet'!F16:F17)-SUM('Balance Sheet'!E16:E17))</f>
        <v>-0.43663104648959999</v>
      </c>
      <c r="H23" s="58">
        <f>-(SUM('Balance Sheet'!G16:G17)-SUM('Balance Sheet'!F16:F17))</f>
        <v>-1.41711517328</v>
      </c>
      <c r="I23" s="58">
        <f>-(SUM('Balance Sheet'!H16:H17)-SUM('Balance Sheet'!G16:G17))</f>
        <v>-0.28673666802226649</v>
      </c>
      <c r="J23" s="58">
        <f>-(SUM('Balance Sheet'!I16:I17)-SUM('Balance Sheet'!H16:H17))</f>
        <v>0</v>
      </c>
    </row>
    <row r="24" spans="2:14" ht="14.5" thickBot="1">
      <c r="B24" s="587" t="s">
        <v>236</v>
      </c>
      <c r="C24" s="588"/>
      <c r="D24" s="588"/>
      <c r="E24" s="589">
        <f>SUM(E22:E23)</f>
        <v>-0.49163249999999997</v>
      </c>
      <c r="F24" s="589">
        <f>SUM(F22:F23)</f>
        <v>2.5896800000000053E-2</v>
      </c>
      <c r="G24" s="589">
        <f t="shared" ref="G24:J24" si="2">SUM(G22:G23)</f>
        <v>-42.636631046489605</v>
      </c>
      <c r="H24" s="589">
        <f t="shared" si="2"/>
        <v>-4.6871151732800005</v>
      </c>
      <c r="I24" s="589">
        <f t="shared" si="2"/>
        <v>-2.5767366680222663</v>
      </c>
      <c r="J24" s="589">
        <f t="shared" si="2"/>
        <v>-2.2599999999999998</v>
      </c>
    </row>
    <row r="25" spans="2:14" ht="14.5" thickTop="1">
      <c r="B25" s="41" t="s">
        <v>200</v>
      </c>
      <c r="C25" s="39"/>
      <c r="D25" s="39"/>
      <c r="E25" s="58">
        <f>'Balance Sheet'!D22-'Balance Sheet'!C22</f>
        <v>9.7953230000000016</v>
      </c>
      <c r="F25" s="58">
        <f>'Balance Sheet'!E22-'Balance Sheet'!D22</f>
        <v>0.15696619999999939</v>
      </c>
      <c r="G25" s="58">
        <f>'Balance Sheet'!F22-'Balance Sheet'!E22</f>
        <v>-16.410838200000001</v>
      </c>
      <c r="H25" s="58">
        <f>'Balance Sheet'!G22-'Balance Sheet'!F22</f>
        <v>0</v>
      </c>
      <c r="I25" s="58">
        <f>'Balance Sheet'!H22-'Balance Sheet'!G22</f>
        <v>0</v>
      </c>
      <c r="J25" s="58">
        <f>'Balance Sheet'!I22-'Balance Sheet'!H22</f>
        <v>0</v>
      </c>
    </row>
    <row r="26" spans="2:14">
      <c r="B26" s="41" t="s">
        <v>237</v>
      </c>
      <c r="C26" s="39"/>
      <c r="D26" s="39"/>
      <c r="E26" s="58">
        <f>'Balance Sheet'!D28-'Balance Sheet'!C28</f>
        <v>0</v>
      </c>
      <c r="F26" s="58">
        <f>'Balance Sheet'!E28-'Balance Sheet'!D28</f>
        <v>0</v>
      </c>
      <c r="G26" s="58">
        <f>'Balance Sheet'!F28-'Balance Sheet'!E28</f>
        <v>0</v>
      </c>
      <c r="H26" s="58">
        <f>'Balance Sheet'!G28-'Balance Sheet'!F28</f>
        <v>0</v>
      </c>
      <c r="I26" s="58">
        <f>'Balance Sheet'!H28-'Balance Sheet'!G28</f>
        <v>0</v>
      </c>
      <c r="J26" s="58">
        <f>'Balance Sheet'!I28-'Balance Sheet'!H28</f>
        <v>0</v>
      </c>
    </row>
    <row r="27" spans="2:14">
      <c r="B27" s="41" t="s">
        <v>238</v>
      </c>
      <c r="C27" s="39"/>
      <c r="D27" s="39"/>
      <c r="E27" s="58">
        <f t="shared" ref="E27" si="3">-E9</f>
        <v>-1.2950987</v>
      </c>
      <c r="F27" s="58">
        <f>-F9</f>
        <v>-1.33767328</v>
      </c>
      <c r="G27" s="58">
        <f t="shared" ref="G27:J27" si="4">-G9</f>
        <v>0</v>
      </c>
      <c r="H27" s="58">
        <f t="shared" si="4"/>
        <v>0</v>
      </c>
      <c r="I27" s="58">
        <f t="shared" si="4"/>
        <v>0</v>
      </c>
      <c r="J27" s="58">
        <f t="shared" si="4"/>
        <v>0</v>
      </c>
    </row>
    <row r="28" spans="2:14">
      <c r="B28" s="41" t="s">
        <v>239</v>
      </c>
      <c r="C28" s="39"/>
      <c r="D28" s="39"/>
      <c r="E28" s="58">
        <f>'Balance Sheet'!D34-'Balance Sheet'!C34</f>
        <v>0</v>
      </c>
      <c r="F28" s="58">
        <f>'Balance Sheet'!E34-'Balance Sheet'!D34</f>
        <v>0</v>
      </c>
      <c r="G28" s="832">
        <f>'Balance Sheet'!F34-'Balance Sheet'!E34</f>
        <v>130</v>
      </c>
      <c r="H28" s="832">
        <f>'Balance Sheet'!G34-'Balance Sheet'!F34</f>
        <v>0</v>
      </c>
      <c r="I28" s="832">
        <f>'Balance Sheet'!H34-'Balance Sheet'!G34</f>
        <v>0</v>
      </c>
      <c r="J28" s="832">
        <f>'Balance Sheet'!I34-'Balance Sheet'!H34</f>
        <v>0</v>
      </c>
    </row>
    <row r="29" spans="2:14">
      <c r="B29" s="41" t="s">
        <v>240</v>
      </c>
      <c r="C29" s="39"/>
      <c r="D29" s="39"/>
      <c r="E29" s="58">
        <f>SUM('Balance Sheet'!D29:D31)-SUM('Balance Sheet'!C29:C31)</f>
        <v>5.2605199999999998E-2</v>
      </c>
      <c r="F29" s="58">
        <f>'Balance Sheet'!E29+'Balance Sheet'!E31-SUM('Balance Sheet'!D29,'Balance Sheet'!D31)</f>
        <v>0</v>
      </c>
      <c r="G29" s="58">
        <f>'Balance Sheet'!F29+'Balance Sheet'!F31-SUM('Balance Sheet'!E29,'Balance Sheet'!E31)</f>
        <v>0</v>
      </c>
      <c r="H29" s="58">
        <f>'Balance Sheet'!G29+'Balance Sheet'!G31-SUM('Balance Sheet'!F29,'Balance Sheet'!F31)</f>
        <v>0</v>
      </c>
      <c r="I29" s="58">
        <f>'Balance Sheet'!H29+'Balance Sheet'!H31-SUM('Balance Sheet'!G29,'Balance Sheet'!G31)</f>
        <v>0</v>
      </c>
      <c r="J29" s="58">
        <f>'Balance Sheet'!I29+'Balance Sheet'!I31-SUM('Balance Sheet'!H29,'Balance Sheet'!H31)</f>
        <v>0</v>
      </c>
    </row>
    <row r="30" spans="2:14" ht="14.5" thickBot="1">
      <c r="B30" s="587" t="s">
        <v>241</v>
      </c>
      <c r="C30" s="588"/>
      <c r="D30" s="588"/>
      <c r="E30" s="590">
        <f>SUM(E25:E29)</f>
        <v>8.5528295000000014</v>
      </c>
      <c r="F30" s="590">
        <f>SUM(F25:F29)</f>
        <v>-1.1807070800000006</v>
      </c>
      <c r="G30" s="590">
        <f>SUM(G25:G29)</f>
        <v>113.5891618</v>
      </c>
      <c r="H30" s="590">
        <f t="shared" ref="H30:J30" si="5">SUM(H25:H29)</f>
        <v>0</v>
      </c>
      <c r="I30" s="590">
        <f t="shared" si="5"/>
        <v>0</v>
      </c>
      <c r="J30" s="590">
        <f t="shared" si="5"/>
        <v>0</v>
      </c>
    </row>
    <row r="31" spans="2:14" ht="14.5" thickTop="1">
      <c r="B31" s="39"/>
      <c r="C31" s="39"/>
      <c r="D31" s="39"/>
      <c r="E31" s="42"/>
      <c r="F31" s="39"/>
      <c r="G31" s="39"/>
      <c r="H31" s="39"/>
      <c r="I31" s="39"/>
      <c r="J31" s="39"/>
    </row>
    <row r="32" spans="2:14" ht="14.5" thickBot="1">
      <c r="B32" s="595" t="s">
        <v>242</v>
      </c>
      <c r="C32" s="596"/>
      <c r="D32" s="596"/>
      <c r="E32" s="597">
        <f>E21+E24+E30</f>
        <v>0.48412300000001451</v>
      </c>
      <c r="F32" s="597">
        <f>F21+F24+F30</f>
        <v>8.164023200000015</v>
      </c>
      <c r="G32" s="597">
        <f>G21+G24+G30</f>
        <v>59.331574497584484</v>
      </c>
      <c r="H32" s="597">
        <f t="shared" ref="H32:I32" si="6">H21+H24+H30</f>
        <v>-66.920381062604292</v>
      </c>
      <c r="I32" s="597">
        <f t="shared" si="6"/>
        <v>-8.4802491633740473</v>
      </c>
      <c r="J32" s="597">
        <f>J21+J24+J30</f>
        <v>60.757005217554656</v>
      </c>
    </row>
    <row r="33" spans="2:11" ht="14.5" thickTop="1">
      <c r="B33" s="63" t="s">
        <v>243</v>
      </c>
      <c r="C33" s="64"/>
      <c r="D33" s="64"/>
      <c r="E33" s="27">
        <f>'Balance Sheet'!C5</f>
        <v>8.0707539999999991</v>
      </c>
      <c r="F33" s="65">
        <f>'Balance Sheet'!D5</f>
        <v>7.4636784</v>
      </c>
      <c r="G33" s="65">
        <f>F34</f>
        <v>15.627701600000016</v>
      </c>
      <c r="H33" s="65">
        <f t="shared" ref="H33:I33" si="7">G34</f>
        <v>74.959276097584507</v>
      </c>
      <c r="I33" s="65">
        <f t="shared" si="7"/>
        <v>8.0388950349802144</v>
      </c>
      <c r="J33" s="65">
        <f>I34</f>
        <v>-0.44135412839383292</v>
      </c>
    </row>
    <row r="34" spans="2:11">
      <c r="B34" s="591" t="s">
        <v>244</v>
      </c>
      <c r="C34" s="592"/>
      <c r="D34" s="592"/>
      <c r="E34" s="593">
        <f>E33+E32</f>
        <v>8.5548770000000136</v>
      </c>
      <c r="F34" s="594">
        <f>F33+F32</f>
        <v>15.627701600000016</v>
      </c>
      <c r="G34" s="594">
        <f>G33+G32</f>
        <v>74.959276097584507</v>
      </c>
      <c r="H34" s="594">
        <f t="shared" ref="H34" si="8">H33+H32</f>
        <v>8.0388950349802144</v>
      </c>
      <c r="I34" s="594">
        <f>I33+I32</f>
        <v>-0.44135412839383292</v>
      </c>
      <c r="J34" s="594">
        <f>J33+J32</f>
        <v>60.315651089160824</v>
      </c>
    </row>
    <row r="35" spans="2:11" s="141" customFormat="1" hidden="1">
      <c r="B35" s="141" t="s">
        <v>245</v>
      </c>
      <c r="E35" s="585"/>
      <c r="F35" s="586">
        <f>15.62-F34</f>
        <v>-7.7016000000167395E-3</v>
      </c>
      <c r="K35" s="227"/>
    </row>
    <row r="36" spans="2:11">
      <c r="F36" s="584"/>
    </row>
    <row r="37" spans="2:11">
      <c r="G37" s="584"/>
      <c r="H37" s="584"/>
      <c r="I37" s="584"/>
      <c r="J37" s="584"/>
    </row>
    <row r="40" spans="2:11">
      <c r="G40" s="584"/>
      <c r="H40" s="584"/>
      <c r="I40" s="584"/>
      <c r="J40" s="584"/>
    </row>
  </sheetData>
  <pageMargins left="0.7" right="0.7" top="0.75" bottom="0.75" header="0.3" footer="0.3"/>
  <pageSetup orientation="portrait" r:id="rId1"/>
  <customProperties>
    <customPr name="OrphanNamesChecke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3E94-B78B-4DB3-B47C-811C2A68C3AE}">
  <dimension ref="A1:D85"/>
  <sheetViews>
    <sheetView tabSelected="1" workbookViewId="0">
      <pane ySplit="1" topLeftCell="A69" activePane="bottomLeft" state="frozen"/>
      <selection pane="bottomLeft" activeCell="D81" sqref="D81"/>
    </sheetView>
  </sheetViews>
  <sheetFormatPr defaultRowHeight="14.5"/>
  <cols>
    <col min="1" max="1" width="35" bestFit="1" customWidth="1"/>
    <col min="2" max="4" width="11.26953125" bestFit="1" customWidth="1"/>
  </cols>
  <sheetData>
    <row r="1" spans="1:4">
      <c r="A1" s="1012"/>
      <c r="B1" s="1014" t="s">
        <v>699</v>
      </c>
      <c r="C1" s="1014" t="s">
        <v>698</v>
      </c>
      <c r="D1" s="1014" t="s">
        <v>697</v>
      </c>
    </row>
    <row r="2" spans="1:4">
      <c r="A2" s="1013" t="s">
        <v>700</v>
      </c>
    </row>
    <row r="3" spans="1:4">
      <c r="A3" t="s">
        <v>701</v>
      </c>
      <c r="B3">
        <v>21.010829999999999</v>
      </c>
      <c r="C3">
        <v>18.998956</v>
      </c>
      <c r="D3">
        <v>19.946432999999999</v>
      </c>
    </row>
    <row r="4" spans="1:4">
      <c r="A4" t="s">
        <v>702</v>
      </c>
      <c r="B4">
        <v>16.909996</v>
      </c>
      <c r="C4">
        <v>23.473438000000002</v>
      </c>
      <c r="D4">
        <v>103.273944</v>
      </c>
    </row>
    <row r="5" spans="1:4">
      <c r="A5" t="s">
        <v>703</v>
      </c>
      <c r="B5" t="s">
        <v>704</v>
      </c>
      <c r="C5" t="s">
        <v>704</v>
      </c>
      <c r="D5">
        <v>8.0494190000000003</v>
      </c>
    </row>
    <row r="6" spans="1:4">
      <c r="A6" t="s">
        <v>705</v>
      </c>
      <c r="B6" t="s">
        <v>704</v>
      </c>
      <c r="C6" t="s">
        <v>704</v>
      </c>
      <c r="D6">
        <v>0.413298</v>
      </c>
    </row>
    <row r="7" spans="1:4">
      <c r="A7" t="s">
        <v>706</v>
      </c>
      <c r="B7">
        <v>0.52598299999999998</v>
      </c>
      <c r="C7">
        <v>0.388687</v>
      </c>
      <c r="D7">
        <v>0.68099500000000002</v>
      </c>
    </row>
    <row r="8" spans="1:4">
      <c r="A8" t="s">
        <v>707</v>
      </c>
      <c r="B8">
        <v>3.6729000000000005E-2</v>
      </c>
      <c r="C8">
        <v>3.7047000000000004E-2</v>
      </c>
      <c r="D8">
        <v>0.27855600000000003</v>
      </c>
    </row>
    <row r="9" spans="1:4">
      <c r="A9" t="s">
        <v>708</v>
      </c>
      <c r="B9">
        <v>1.7627410000000001</v>
      </c>
      <c r="C9">
        <v>1.0150140000000001</v>
      </c>
      <c r="D9">
        <v>2.9498770000000003</v>
      </c>
    </row>
    <row r="10" spans="1:4">
      <c r="A10" t="s">
        <v>709</v>
      </c>
      <c r="B10" t="s">
        <v>704</v>
      </c>
      <c r="C10" t="s">
        <v>704</v>
      </c>
      <c r="D10">
        <v>3.8960000000000002E-2</v>
      </c>
    </row>
    <row r="11" spans="1:4" ht="15" thickBot="1">
      <c r="A11" t="s">
        <v>710</v>
      </c>
      <c r="B11">
        <v>2.7216000000000004E-2</v>
      </c>
      <c r="C11">
        <v>9.050000000000001E-4</v>
      </c>
      <c r="D11">
        <v>1.2E-4</v>
      </c>
    </row>
    <row r="12" spans="1:4">
      <c r="A12" s="1010" t="s">
        <v>711</v>
      </c>
      <c r="B12" s="1011">
        <v>40.273495000000004</v>
      </c>
      <c r="C12" s="1011">
        <v>43.914048000000001</v>
      </c>
      <c r="D12" s="1011">
        <v>135.63160200000002</v>
      </c>
    </row>
    <row r="13" spans="1:4">
      <c r="A13" s="624"/>
    </row>
    <row r="14" spans="1:4">
      <c r="A14" s="1013" t="s">
        <v>712</v>
      </c>
    </row>
    <row r="15" spans="1:4">
      <c r="A15" t="s">
        <v>713</v>
      </c>
      <c r="B15">
        <v>1.261287</v>
      </c>
      <c r="C15">
        <v>0.99161800000000011</v>
      </c>
      <c r="D15">
        <v>2.586516</v>
      </c>
    </row>
    <row r="16" spans="1:4">
      <c r="A16" t="s">
        <v>714</v>
      </c>
      <c r="B16">
        <v>0.99161800000000011</v>
      </c>
      <c r="C16">
        <v>2.586516</v>
      </c>
      <c r="D16">
        <v>14.538457000000001</v>
      </c>
    </row>
    <row r="17" spans="1:4">
      <c r="A17" t="s">
        <v>715</v>
      </c>
      <c r="B17">
        <v>0.26966899999999999</v>
      </c>
      <c r="C17">
        <v>-1.5948979999999999</v>
      </c>
      <c r="D17">
        <v>-11.951941000000001</v>
      </c>
    </row>
    <row r="18" spans="1:4">
      <c r="A18" s="624"/>
    </row>
    <row r="19" spans="1:4">
      <c r="A19" s="1013" t="s">
        <v>716</v>
      </c>
    </row>
    <row r="20" spans="1:4">
      <c r="A20" t="s">
        <v>717</v>
      </c>
      <c r="B20">
        <v>0.94956600000000002</v>
      </c>
      <c r="C20">
        <v>1.0893790000000001</v>
      </c>
      <c r="D20">
        <v>3.5442230000000006</v>
      </c>
    </row>
    <row r="21" spans="1:4">
      <c r="A21" t="s">
        <v>718</v>
      </c>
      <c r="B21">
        <v>0.36200000000000004</v>
      </c>
      <c r="C21">
        <v>0.46450000000000002</v>
      </c>
      <c r="D21">
        <v>0.20225000000000001</v>
      </c>
    </row>
    <row r="22" spans="1:4">
      <c r="A22" t="s">
        <v>719</v>
      </c>
      <c r="B22" t="s">
        <v>704</v>
      </c>
      <c r="C22">
        <v>1.3466000000000001E-2</v>
      </c>
      <c r="D22">
        <v>4.1920000000000004E-3</v>
      </c>
    </row>
    <row r="23" spans="1:4">
      <c r="A23" t="s">
        <v>720</v>
      </c>
      <c r="B23">
        <v>0.11409500000000002</v>
      </c>
      <c r="C23">
        <v>7.5849E-2</v>
      </c>
      <c r="D23">
        <v>0.56766499999999998</v>
      </c>
    </row>
    <row r="24" spans="1:4">
      <c r="A24" t="s">
        <v>721</v>
      </c>
      <c r="B24">
        <v>9.9871000000000015E-2</v>
      </c>
      <c r="C24">
        <v>7.6679999999999998E-2</v>
      </c>
      <c r="D24">
        <v>0.35115500000000005</v>
      </c>
    </row>
    <row r="25" spans="1:4" ht="15" thickBot="1">
      <c r="A25" t="s">
        <v>722</v>
      </c>
      <c r="B25">
        <v>2.9941000000000002E-2</v>
      </c>
      <c r="C25">
        <v>2.6414E-2</v>
      </c>
      <c r="D25">
        <v>2.9583999999999999E-2</v>
      </c>
    </row>
    <row r="26" spans="1:4">
      <c r="A26" s="1010" t="s">
        <v>723</v>
      </c>
      <c r="B26" s="1011">
        <v>1.5554730000000001</v>
      </c>
      <c r="C26" s="1011">
        <v>1.7462869999999999</v>
      </c>
      <c r="D26" s="1011">
        <v>4.6990680000000005</v>
      </c>
    </row>
    <row r="27" spans="1:4">
      <c r="A27" s="624"/>
    </row>
    <row r="28" spans="1:4">
      <c r="A28" s="1013" t="s">
        <v>238</v>
      </c>
    </row>
    <row r="29" spans="1:4">
      <c r="A29" t="s">
        <v>724</v>
      </c>
      <c r="B29">
        <v>0.33308900000000002</v>
      </c>
      <c r="C29">
        <v>0.96741700000000008</v>
      </c>
      <c r="D29">
        <v>0.27127100000000004</v>
      </c>
    </row>
    <row r="30" spans="1:4">
      <c r="A30" t="s">
        <v>725</v>
      </c>
      <c r="C30">
        <v>0.15362600000000001</v>
      </c>
      <c r="D30">
        <v>0.8885360000000001</v>
      </c>
    </row>
    <row r="31" spans="1:4">
      <c r="A31" t="s">
        <v>726</v>
      </c>
      <c r="B31">
        <v>0.178283</v>
      </c>
      <c r="C31">
        <v>0.16728900000000002</v>
      </c>
      <c r="D31">
        <v>0.17294500000000002</v>
      </c>
    </row>
    <row r="32" spans="1:4" ht="15" thickBot="1">
      <c r="A32" t="s">
        <v>727</v>
      </c>
      <c r="B32">
        <v>1.199E-3</v>
      </c>
      <c r="C32">
        <v>6.7670000000000004E-3</v>
      </c>
      <c r="D32">
        <v>1.1325E-2</v>
      </c>
    </row>
    <row r="33" spans="1:4">
      <c r="A33" s="1010" t="s">
        <v>728</v>
      </c>
      <c r="B33" s="1011">
        <v>0.51256999999999997</v>
      </c>
      <c r="C33" s="1011">
        <v>1.295099</v>
      </c>
      <c r="D33" s="1011">
        <v>1.344076</v>
      </c>
    </row>
    <row r="34" spans="1:4">
      <c r="A34" s="624"/>
    </row>
    <row r="35" spans="1:4">
      <c r="A35" s="1013" t="s">
        <v>729</v>
      </c>
      <c r="B35">
        <v>5.3758000000000007E-2</v>
      </c>
      <c r="C35">
        <v>0.104258</v>
      </c>
      <c r="D35">
        <v>0.20209000000000002</v>
      </c>
    </row>
    <row r="36" spans="1:4">
      <c r="A36" s="788"/>
    </row>
    <row r="37" spans="1:4">
      <c r="A37" s="1013" t="s">
        <v>730</v>
      </c>
    </row>
    <row r="38" spans="1:4">
      <c r="A38" t="s">
        <v>731</v>
      </c>
      <c r="B38">
        <v>2.4E-2</v>
      </c>
      <c r="C38">
        <v>2.75E-2</v>
      </c>
      <c r="D38" t="s">
        <v>704</v>
      </c>
    </row>
    <row r="39" spans="1:4">
      <c r="A39" t="s">
        <v>732</v>
      </c>
      <c r="B39">
        <v>0.103949</v>
      </c>
      <c r="C39">
        <v>8.9613999999999999E-2</v>
      </c>
      <c r="D39">
        <v>6.5930000000000008E-3</v>
      </c>
    </row>
    <row r="40" spans="1:4">
      <c r="A40" t="s">
        <v>733</v>
      </c>
      <c r="B40">
        <v>0.46935399999999999</v>
      </c>
      <c r="C40">
        <v>0.10044900000000001</v>
      </c>
      <c r="D40">
        <v>1.193211</v>
      </c>
    </row>
    <row r="41" spans="1:4">
      <c r="A41" t="s">
        <v>734</v>
      </c>
      <c r="B41">
        <v>0.14378800000000003</v>
      </c>
      <c r="C41">
        <v>0.16426900000000003</v>
      </c>
      <c r="D41">
        <v>5.4004999999999997E-2</v>
      </c>
    </row>
    <row r="42" spans="1:4">
      <c r="A42" t="s">
        <v>735</v>
      </c>
      <c r="B42">
        <v>7.1430000000000009E-3</v>
      </c>
      <c r="C42">
        <v>7.2099999999999994E-3</v>
      </c>
      <c r="D42">
        <v>1.0090000000000002E-2</v>
      </c>
    </row>
    <row r="43" spans="1:4">
      <c r="A43" t="s">
        <v>736</v>
      </c>
      <c r="B43">
        <v>2.5000000000000001E-3</v>
      </c>
      <c r="C43">
        <v>2.5000000000000001E-3</v>
      </c>
      <c r="D43">
        <v>2.5000000000000001E-3</v>
      </c>
    </row>
    <row r="44" spans="1:4">
      <c r="A44" t="s">
        <v>737</v>
      </c>
      <c r="B44">
        <v>0.30219000000000001</v>
      </c>
      <c r="C44" t="s">
        <v>704</v>
      </c>
      <c r="D44" t="s">
        <v>704</v>
      </c>
    </row>
    <row r="45" spans="1:4">
      <c r="A45" t="s">
        <v>738</v>
      </c>
      <c r="B45">
        <v>0</v>
      </c>
      <c r="C45">
        <v>1.6560000000000002E-2</v>
      </c>
      <c r="D45">
        <v>6.2922000000000006E-2</v>
      </c>
    </row>
    <row r="46" spans="1:4">
      <c r="A46" t="s">
        <v>739</v>
      </c>
      <c r="B46">
        <v>6.0811000000000004E-2</v>
      </c>
      <c r="C46">
        <v>0.10602600000000001</v>
      </c>
      <c r="D46">
        <v>1.6490000000000001E-2</v>
      </c>
    </row>
    <row r="47" spans="1:4">
      <c r="A47" t="s">
        <v>740</v>
      </c>
      <c r="B47">
        <v>0</v>
      </c>
      <c r="C47" t="s">
        <v>704</v>
      </c>
      <c r="D47">
        <v>1.4E-3</v>
      </c>
    </row>
    <row r="48" spans="1:4">
      <c r="A48" t="s">
        <v>741</v>
      </c>
      <c r="B48">
        <v>0</v>
      </c>
      <c r="C48" t="s">
        <v>704</v>
      </c>
      <c r="D48">
        <v>5.1810000000000007E-3</v>
      </c>
    </row>
    <row r="49" spans="1:4">
      <c r="A49" t="s">
        <v>742</v>
      </c>
      <c r="B49">
        <v>2.8180000000000002E-3</v>
      </c>
      <c r="C49" t="s">
        <v>704</v>
      </c>
      <c r="D49">
        <v>2.4001000000000001E-2</v>
      </c>
    </row>
    <row r="50" spans="1:4">
      <c r="A50" t="s">
        <v>743</v>
      </c>
      <c r="B50">
        <v>4.6233999999999997E-2</v>
      </c>
      <c r="C50">
        <v>1.7737000000000003E-2</v>
      </c>
      <c r="D50">
        <v>1.8595E-2</v>
      </c>
    </row>
    <row r="51" spans="1:4">
      <c r="A51" t="s">
        <v>744</v>
      </c>
      <c r="B51">
        <v>0.118301</v>
      </c>
      <c r="C51">
        <v>3.9161000000000001E-2</v>
      </c>
      <c r="D51">
        <v>0.157249</v>
      </c>
    </row>
    <row r="52" spans="1:4">
      <c r="A52" t="s">
        <v>745</v>
      </c>
      <c r="B52">
        <v>3.9941000000000004E-2</v>
      </c>
      <c r="C52">
        <v>8.5500000000000003E-3</v>
      </c>
      <c r="D52">
        <v>0.13029100000000002</v>
      </c>
    </row>
    <row r="53" spans="1:4">
      <c r="A53" t="s">
        <v>746</v>
      </c>
      <c r="B53">
        <v>9.1319999999999995E-3</v>
      </c>
      <c r="C53">
        <v>3.0000000000000002E-2</v>
      </c>
      <c r="D53">
        <v>1.7571000000000003E-2</v>
      </c>
    </row>
    <row r="54" spans="1:4">
      <c r="A54" t="s">
        <v>129</v>
      </c>
      <c r="B54">
        <v>2.2054279999999999</v>
      </c>
      <c r="C54">
        <v>1.6519020000000002</v>
      </c>
      <c r="D54">
        <v>4.5551730000000008</v>
      </c>
    </row>
    <row r="55" spans="1:4">
      <c r="A55" t="s">
        <v>747</v>
      </c>
      <c r="B55">
        <v>3.3484E-2</v>
      </c>
      <c r="C55">
        <v>3.3666000000000001E-2</v>
      </c>
      <c r="D55" t="s">
        <v>704</v>
      </c>
    </row>
    <row r="56" spans="1:4">
      <c r="A56" t="s">
        <v>748</v>
      </c>
      <c r="B56">
        <v>2.5319999999999999E-2</v>
      </c>
      <c r="C56">
        <v>4.0064000000000002E-2</v>
      </c>
      <c r="D56">
        <v>-4.2040000000000003E-3</v>
      </c>
    </row>
    <row r="57" spans="1:4">
      <c r="A57" t="s">
        <v>749</v>
      </c>
      <c r="B57">
        <v>0.17230700000000002</v>
      </c>
      <c r="C57">
        <v>0.16105800000000001</v>
      </c>
      <c r="D57">
        <v>8.7895000000000015E-2</v>
      </c>
    </row>
    <row r="58" spans="1:4">
      <c r="A58" t="s">
        <v>750</v>
      </c>
      <c r="B58">
        <v>1.8194999999999999E-2</v>
      </c>
      <c r="C58">
        <v>5.0478000000000002E-2</v>
      </c>
      <c r="D58">
        <v>2.5237000000000002E-2</v>
      </c>
    </row>
    <row r="59" spans="1:4">
      <c r="A59" t="s">
        <v>751</v>
      </c>
      <c r="B59">
        <v>3.3675000000000004E-2</v>
      </c>
      <c r="C59">
        <v>0.10553</v>
      </c>
      <c r="D59">
        <v>0.16012000000000001</v>
      </c>
    </row>
    <row r="60" spans="1:4">
      <c r="A60" t="s">
        <v>752</v>
      </c>
      <c r="B60">
        <v>0</v>
      </c>
      <c r="C60">
        <v>3.8040000000000001E-3</v>
      </c>
      <c r="D60" t="s">
        <v>704</v>
      </c>
    </row>
    <row r="61" spans="1:4">
      <c r="A61" t="s">
        <v>753</v>
      </c>
      <c r="B61">
        <v>0</v>
      </c>
      <c r="C61">
        <v>9.7090000000000006E-3</v>
      </c>
      <c r="D61" t="s">
        <v>704</v>
      </c>
    </row>
    <row r="62" spans="1:4">
      <c r="A62" t="s">
        <v>754</v>
      </c>
      <c r="B62">
        <v>0.6969010000000001</v>
      </c>
      <c r="C62">
        <v>1.7365140000000001</v>
      </c>
      <c r="D62">
        <v>0.67965100000000001</v>
      </c>
    </row>
    <row r="63" spans="1:4">
      <c r="A63" t="s">
        <v>755</v>
      </c>
      <c r="B63">
        <v>6.5340000000000007E-3</v>
      </c>
      <c r="C63">
        <v>4.3E-3</v>
      </c>
      <c r="D63">
        <v>1.7349000000000003E-2</v>
      </c>
    </row>
    <row r="64" spans="1:4">
      <c r="A64" t="s">
        <v>756</v>
      </c>
      <c r="B64" t="s">
        <v>704</v>
      </c>
      <c r="C64" t="s">
        <v>704</v>
      </c>
      <c r="D64">
        <v>8.634000000000001E-3</v>
      </c>
    </row>
    <row r="65" spans="1:4">
      <c r="A65" t="s">
        <v>757</v>
      </c>
      <c r="B65">
        <v>0.10331800000000001</v>
      </c>
      <c r="C65">
        <v>0.10841400000000001</v>
      </c>
      <c r="D65">
        <v>0.226714</v>
      </c>
    </row>
    <row r="66" spans="1:4">
      <c r="A66" t="s">
        <v>758</v>
      </c>
      <c r="B66">
        <v>3.761E-3</v>
      </c>
      <c r="C66">
        <v>7.5000000000000007E-5</v>
      </c>
      <c r="D66">
        <v>1.2830000000000001E-3</v>
      </c>
    </row>
    <row r="67" spans="1:4">
      <c r="A67" t="s">
        <v>759</v>
      </c>
      <c r="B67">
        <v>2.1555000000000001E-2</v>
      </c>
      <c r="C67">
        <v>3.9643999999999999E-2</v>
      </c>
      <c r="D67">
        <v>7.9150999999999999E-2</v>
      </c>
    </row>
    <row r="68" spans="1:4">
      <c r="A68" t="s">
        <v>760</v>
      </c>
      <c r="B68">
        <v>1.5426E-2</v>
      </c>
      <c r="C68">
        <v>6.8830000000000002E-3</v>
      </c>
      <c r="D68">
        <v>5.4819999999999999E-3</v>
      </c>
    </row>
    <row r="69" spans="1:4">
      <c r="A69" t="s">
        <v>761</v>
      </c>
      <c r="B69">
        <v>1.0975E-2</v>
      </c>
      <c r="C69">
        <v>1.7893000000000003E-2</v>
      </c>
      <c r="D69">
        <v>9.7352000000000008E-2</v>
      </c>
    </row>
    <row r="70" spans="1:4">
      <c r="A70" t="s">
        <v>762</v>
      </c>
      <c r="B70">
        <v>0</v>
      </c>
      <c r="C70" t="s">
        <v>704</v>
      </c>
      <c r="D70">
        <v>-1.1399999999999999E-4</v>
      </c>
    </row>
    <row r="71" spans="1:4">
      <c r="A71" t="s">
        <v>763</v>
      </c>
      <c r="B71">
        <v>0</v>
      </c>
      <c r="C71" t="s">
        <v>704</v>
      </c>
      <c r="D71">
        <v>7.7604999999999993E-2</v>
      </c>
    </row>
    <row r="72" spans="1:4">
      <c r="A72" t="s">
        <v>764</v>
      </c>
      <c r="B72">
        <v>5.6470000000000001E-3</v>
      </c>
      <c r="C72">
        <v>4.9450000000000006E-3</v>
      </c>
      <c r="D72">
        <v>0.11999700000000001</v>
      </c>
    </row>
    <row r="73" spans="1:4">
      <c r="A73" t="s">
        <v>765</v>
      </c>
      <c r="B73">
        <v>0.40214800000000001</v>
      </c>
      <c r="C73">
        <v>0.49126500000000001</v>
      </c>
      <c r="D73">
        <v>0.52962900000000002</v>
      </c>
    </row>
    <row r="74" spans="1:4">
      <c r="A74" t="s">
        <v>766</v>
      </c>
      <c r="B74">
        <v>3.1705000000000004E-2</v>
      </c>
      <c r="C74">
        <v>2.9768000000000003E-2</v>
      </c>
      <c r="D74">
        <v>3.6214999999999997E-2</v>
      </c>
    </row>
    <row r="75" spans="1:4">
      <c r="A75" t="s">
        <v>767</v>
      </c>
      <c r="B75" t="s">
        <v>704</v>
      </c>
      <c r="C75" t="s">
        <v>704</v>
      </c>
      <c r="D75">
        <v>2.4E-2</v>
      </c>
    </row>
    <row r="76" spans="1:4">
      <c r="A76" t="s">
        <v>768</v>
      </c>
      <c r="B76">
        <v>1.93E-4</v>
      </c>
      <c r="C76">
        <v>4.5000000000000003E-5</v>
      </c>
      <c r="D76">
        <v>3.2000000000000005E-5</v>
      </c>
    </row>
    <row r="77" spans="1:4">
      <c r="A77" t="s">
        <v>769</v>
      </c>
      <c r="B77">
        <v>7.7905000000000002E-2</v>
      </c>
      <c r="C77">
        <v>7.2001999999999997E-2</v>
      </c>
      <c r="D77">
        <v>0.23207800000000003</v>
      </c>
    </row>
    <row r="78" spans="1:4">
      <c r="A78" t="s">
        <v>770</v>
      </c>
      <c r="B78">
        <v>3.1924000000000001E-2</v>
      </c>
      <c r="C78">
        <v>4.6767000000000003E-2</v>
      </c>
      <c r="D78">
        <v>5.5414999999999999E-2</v>
      </c>
    </row>
    <row r="79" spans="1:4">
      <c r="A79" t="s">
        <v>771</v>
      </c>
      <c r="B79">
        <v>0</v>
      </c>
      <c r="C79">
        <v>0.12340000000000001</v>
      </c>
      <c r="D79" t="s">
        <v>704</v>
      </c>
    </row>
    <row r="80" spans="1:4">
      <c r="A80" t="s">
        <v>772</v>
      </c>
      <c r="B80">
        <v>0.23826100000000003</v>
      </c>
      <c r="C80">
        <v>0.50718200000000002</v>
      </c>
      <c r="D80">
        <v>0.79561199999999999</v>
      </c>
    </row>
    <row r="81" spans="1:4">
      <c r="A81" t="s">
        <v>773</v>
      </c>
      <c r="B81" t="s">
        <v>704</v>
      </c>
      <c r="C81" t="s">
        <v>704</v>
      </c>
      <c r="D81">
        <v>1.5429E-2</v>
      </c>
    </row>
    <row r="82" spans="1:4">
      <c r="A82" t="s">
        <v>774</v>
      </c>
      <c r="B82">
        <v>0</v>
      </c>
      <c r="C82">
        <v>1.392E-2</v>
      </c>
      <c r="D82">
        <v>0.16900400000000002</v>
      </c>
    </row>
    <row r="83" spans="1:4">
      <c r="A83" t="s">
        <v>775</v>
      </c>
      <c r="B83">
        <v>5.2767999999999995E-2</v>
      </c>
      <c r="C83">
        <v>2.6498000000000004E-2</v>
      </c>
      <c r="D83">
        <v>9.0500000000000008E-3</v>
      </c>
    </row>
    <row r="84" spans="1:4" ht="15" thickBot="1">
      <c r="A84" t="s">
        <v>776</v>
      </c>
      <c r="B84">
        <v>9.8971000000000003E-2</v>
      </c>
      <c r="C84">
        <v>7.2316000000000005E-2</v>
      </c>
      <c r="D84">
        <v>0.13594600000000001</v>
      </c>
    </row>
    <row r="85" spans="1:4">
      <c r="A85" s="1010" t="s">
        <v>777</v>
      </c>
      <c r="B85" s="1011">
        <v>5.6165630000000002</v>
      </c>
      <c r="C85" s="1011">
        <v>5.9676169999999997</v>
      </c>
      <c r="D85" s="1011">
        <v>9.8398369999999993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ED2B-79F5-4A56-BD8E-705872395E76}">
  <dimension ref="B1:N39"/>
  <sheetViews>
    <sheetView showGridLines="0" topLeftCell="A2" zoomScale="80" zoomScaleNormal="80" workbookViewId="0">
      <selection activeCell="F34" sqref="F34:H34"/>
    </sheetView>
  </sheetViews>
  <sheetFormatPr defaultColWidth="8" defaultRowHeight="12.5" outlineLevelRow="1"/>
  <cols>
    <col min="1" max="1" width="3.1796875" style="67" customWidth="1"/>
    <col min="2" max="2" width="30.81640625" style="67" customWidth="1"/>
    <col min="3" max="3" width="12.7265625" style="67" bestFit="1" customWidth="1"/>
    <col min="4" max="4" width="10.453125" style="67" bestFit="1" customWidth="1"/>
    <col min="5" max="5" width="9.54296875" style="67" bestFit="1" customWidth="1"/>
    <col min="6" max="6" width="9" style="903" customWidth="1"/>
    <col min="7" max="7" width="9.26953125" style="903" customWidth="1"/>
    <col min="8" max="9" width="9.453125" style="903" customWidth="1"/>
    <col min="10" max="13" width="8" style="67"/>
    <col min="14" max="14" width="8.1796875" style="67" bestFit="1" customWidth="1"/>
    <col min="15" max="15" width="0.453125" style="67" customWidth="1"/>
    <col min="16" max="16" width="9.1796875" style="67" customWidth="1"/>
    <col min="17" max="18" width="9.54296875" style="67" customWidth="1"/>
    <col min="19" max="19" width="9.26953125" style="67" customWidth="1"/>
    <col min="20" max="20" width="9.54296875" style="67" customWidth="1"/>
    <col min="21" max="16384" width="8" style="67"/>
  </cols>
  <sheetData>
    <row r="1" spans="2:14" ht="13" hidden="1" outlineLevel="1">
      <c r="M1" s="73"/>
      <c r="N1" s="54">
        <v>72</v>
      </c>
    </row>
    <row r="2" spans="2:14" ht="13" collapsed="1">
      <c r="B2" s="530" t="s">
        <v>246</v>
      </c>
      <c r="C2" s="67">
        <f>10^6</f>
        <v>1000000</v>
      </c>
      <c r="I2" s="965" t="s">
        <v>247</v>
      </c>
    </row>
    <row r="3" spans="2:14" ht="13">
      <c r="B3" s="24" t="s">
        <v>248</v>
      </c>
      <c r="C3" s="5"/>
      <c r="D3" s="5"/>
      <c r="E3" s="5"/>
      <c r="F3" s="5"/>
      <c r="G3" s="5"/>
      <c r="H3" s="5"/>
      <c r="I3" s="5"/>
    </row>
    <row r="4" spans="2:14" s="890" customFormat="1" ht="34.5">
      <c r="B4" s="889" t="s">
        <v>142</v>
      </c>
      <c r="C4" s="16" t="str">
        <f>'Balance Sheet'!C4</f>
        <v>2022
Historical</v>
      </c>
      <c r="D4" s="16" t="str">
        <f>'Balance Sheet'!D4</f>
        <v>2023
Historical</v>
      </c>
      <c r="E4" s="459" t="str">
        <f>'Balance Sheet'!E4</f>
        <v>2024
Provisional</v>
      </c>
      <c r="F4" s="900" t="str">
        <f>'Balance Sheet'!F4</f>
        <v>2025
Forecasted</v>
      </c>
      <c r="G4" s="900" t="str">
        <f>'Balance Sheet'!G4</f>
        <v>2026
Forecasted</v>
      </c>
      <c r="H4" s="900" t="str">
        <f>'Balance Sheet'!H4</f>
        <v>2027
Forecasted</v>
      </c>
      <c r="I4" s="900" t="str">
        <f>'Balance Sheet'!I4</f>
        <v>2028
Forecasted</v>
      </c>
    </row>
    <row r="5" spans="2:14" ht="13">
      <c r="B5" s="54" t="s">
        <v>249</v>
      </c>
      <c r="C5" s="230">
        <f>'P&amp;L'!C10+'P&amp;L'!C34</f>
        <v>52.386700999999995</v>
      </c>
      <c r="D5" s="230">
        <f>'P&amp;L'!D10+'P&amp;L'!D34</f>
        <v>54.237087800000005</v>
      </c>
      <c r="E5" s="230">
        <f>'P&amp;L'!E10+'P&amp;L'!E34</f>
        <v>152.16646594600002</v>
      </c>
      <c r="F5" s="901">
        <f>'P&amp;L'!F10+'P&amp;L'!F34</f>
        <v>302.89349225574</v>
      </c>
      <c r="G5" s="901">
        <f>'P&amp;L'!G10+'P&amp;L'!G34</f>
        <v>442.7794812011648</v>
      </c>
      <c r="H5" s="901">
        <f>'P&amp;L'!H10+'P&amp;L'!H34</f>
        <v>657.13595930321821</v>
      </c>
      <c r="I5" s="901">
        <f>'P&amp;L'!I10+'P&amp;L'!I34</f>
        <v>951.46234869308159</v>
      </c>
      <c r="K5" s="223"/>
    </row>
    <row r="6" spans="2:14" ht="13">
      <c r="B6" s="478" t="s">
        <v>250</v>
      </c>
      <c r="C6" s="891"/>
      <c r="D6" s="962">
        <f>D5/C5-1</f>
        <v>3.5321689754810315E-2</v>
      </c>
      <c r="E6" s="962">
        <f t="shared" ref="E6:I6" si="0">E5/D5-1</f>
        <v>1.8055795788135955</v>
      </c>
      <c r="F6" s="963">
        <f t="shared" si="0"/>
        <v>0.99054036231103071</v>
      </c>
      <c r="G6" s="963">
        <f t="shared" si="0"/>
        <v>0.46183226950058009</v>
      </c>
      <c r="H6" s="963">
        <f t="shared" si="0"/>
        <v>0.48411565396063683</v>
      </c>
      <c r="I6" s="963">
        <f t="shared" si="0"/>
        <v>0.44789268525488524</v>
      </c>
      <c r="J6" s="574"/>
    </row>
    <row r="7" spans="2:14" ht="13">
      <c r="B7" s="54" t="s">
        <v>143</v>
      </c>
      <c r="C7" s="892">
        <f>'P&amp;L'!C37</f>
        <v>6.2269739999999976</v>
      </c>
      <c r="D7" s="892">
        <f>'P&amp;L'!D37</f>
        <v>4.204034200000013</v>
      </c>
      <c r="E7" s="892">
        <f>'P&amp;L'!E37</f>
        <v>14.237334180000019</v>
      </c>
      <c r="F7" s="901">
        <f>'P&amp;L'!F37</f>
        <v>46.738399771915226</v>
      </c>
      <c r="G7" s="901">
        <f>'P&amp;L'!G37</f>
        <v>53.28515735430426</v>
      </c>
      <c r="H7" s="901">
        <f>'P&amp;L'!H37</f>
        <v>81.148352734087666</v>
      </c>
      <c r="I7" s="901">
        <f>'P&amp;L'!I37</f>
        <v>126.92719046246327</v>
      </c>
      <c r="J7" s="574"/>
      <c r="K7" s="223"/>
    </row>
    <row r="8" spans="2:14" ht="13">
      <c r="B8" s="478" t="s">
        <v>251</v>
      </c>
      <c r="C8" s="961">
        <f>C7/C$5</f>
        <v>0.11886554948363705</v>
      </c>
      <c r="D8" s="961">
        <f t="shared" ref="D8" si="1">D7/D$5</f>
        <v>7.7512166868222099E-2</v>
      </c>
      <c r="E8" s="961">
        <f t="shared" ref="E8" si="2">E7/E$5</f>
        <v>9.3564203462887047E-2</v>
      </c>
      <c r="F8" s="964">
        <f t="shared" ref="F8" si="3">F7/F$5</f>
        <v>0.15430638480820483</v>
      </c>
      <c r="G8" s="964">
        <f t="shared" ref="G8" si="4">G7/G$5</f>
        <v>0.12034242691136719</v>
      </c>
      <c r="H8" s="964">
        <f t="shared" ref="H8" si="5">H7/H$5</f>
        <v>0.12348791994297771</v>
      </c>
      <c r="I8" s="964">
        <f t="shared" ref="I8" si="6">I7/I$5</f>
        <v>0.13340222094632445</v>
      </c>
    </row>
    <row r="9" spans="2:14" ht="13">
      <c r="B9" s="54" t="s">
        <v>252</v>
      </c>
      <c r="C9" s="230">
        <f>'P&amp;L'!C40</f>
        <v>5.3758E-2</v>
      </c>
      <c r="D9" s="230">
        <f>'P&amp;L'!D40</f>
        <v>0.10425760000000001</v>
      </c>
      <c r="E9" s="230">
        <f>'P&amp;L'!E40</f>
        <v>0.21134339999999999</v>
      </c>
      <c r="F9" s="901">
        <f>'P&amp;L'!F40</f>
        <v>2.12541269902</v>
      </c>
      <c r="G9" s="901">
        <f>'P&amp;L'!G40</f>
        <v>2.8037222095068834</v>
      </c>
      <c r="H9" s="901">
        <f>'P&amp;L'!H40</f>
        <v>2.7904567793292969</v>
      </c>
      <c r="I9" s="901">
        <f>'P&amp;L'!I40</f>
        <v>2.7557922211994317</v>
      </c>
    </row>
    <row r="10" spans="2:14" ht="13">
      <c r="B10" s="54" t="s">
        <v>169</v>
      </c>
      <c r="C10" s="230">
        <f>'P&amp;L'!C41</f>
        <v>6.1732159999999974</v>
      </c>
      <c r="D10" s="230">
        <f>'P&amp;L'!D41</f>
        <v>4.0997766000000126</v>
      </c>
      <c r="E10" s="230">
        <f>'P&amp;L'!E41</f>
        <v>14.025990780000019</v>
      </c>
      <c r="F10" s="901">
        <f>'P&amp;L'!F41</f>
        <v>44.612987072895223</v>
      </c>
      <c r="G10" s="901">
        <f>'P&amp;L'!G41</f>
        <v>50.481435144797373</v>
      </c>
      <c r="H10" s="901">
        <f>'P&amp;L'!H41</f>
        <v>78.357895954758362</v>
      </c>
      <c r="I10" s="901">
        <f>'P&amp;L'!I41</f>
        <v>124.17139824126384</v>
      </c>
      <c r="J10" s="893"/>
    </row>
    <row r="11" spans="2:14" ht="13">
      <c r="B11" s="478" t="s">
        <v>253</v>
      </c>
      <c r="C11" s="961">
        <f>C10/C$5</f>
        <v>0.11783937301186417</v>
      </c>
      <c r="D11" s="961">
        <f t="shared" ref="D11:I11" si="7">D10/D$5</f>
        <v>7.5589910268006905E-2</v>
      </c>
      <c r="E11" s="961">
        <f t="shared" si="7"/>
        <v>9.2175307435854392E-2</v>
      </c>
      <c r="F11" s="964">
        <f t="shared" si="7"/>
        <v>0.1472893548839519</v>
      </c>
      <c r="G11" s="964">
        <f t="shared" si="7"/>
        <v>0.11401033084878319</v>
      </c>
      <c r="H11" s="964">
        <f t="shared" si="7"/>
        <v>0.11924152809693093</v>
      </c>
      <c r="I11" s="964">
        <f t="shared" si="7"/>
        <v>0.13050584546180344</v>
      </c>
      <c r="J11" s="893"/>
    </row>
    <row r="12" spans="2:14" ht="13">
      <c r="B12" s="54" t="s">
        <v>171</v>
      </c>
      <c r="C12" s="230">
        <f>'P&amp;L'!C44</f>
        <v>5.673327999999997</v>
      </c>
      <c r="D12" s="230">
        <f>'P&amp;L'!D44</f>
        <v>2.8046779000000126</v>
      </c>
      <c r="E12" s="230">
        <f>'P&amp;L'!E44</f>
        <v>12.688317500000018</v>
      </c>
      <c r="F12" s="901">
        <f>'P&amp;L'!F44</f>
        <v>44.612987072895223</v>
      </c>
      <c r="G12" s="901">
        <f>'P&amp;L'!G44</f>
        <v>50.481435144797373</v>
      </c>
      <c r="H12" s="901">
        <f>'P&amp;L'!H44</f>
        <v>78.357895954758362</v>
      </c>
      <c r="I12" s="901">
        <f>'P&amp;L'!I44</f>
        <v>124.17139824126384</v>
      </c>
      <c r="J12" s="893"/>
    </row>
    <row r="13" spans="2:14" ht="13">
      <c r="B13" s="478" t="s">
        <v>254</v>
      </c>
      <c r="C13" s="961">
        <f>C12/C$5</f>
        <v>0.10829710387756614</v>
      </c>
      <c r="D13" s="961">
        <f t="shared" ref="D13" si="8">D12/D$5</f>
        <v>5.1711439787148976E-2</v>
      </c>
      <c r="E13" s="961">
        <f t="shared" ref="E13" si="9">E12/E$5</f>
        <v>8.3384452816974652E-2</v>
      </c>
      <c r="F13" s="964">
        <f t="shared" ref="F13" si="10">F12/F$5</f>
        <v>0.1472893548839519</v>
      </c>
      <c r="G13" s="964">
        <f t="shared" ref="G13" si="11">G12/G$5</f>
        <v>0.11401033084878319</v>
      </c>
      <c r="H13" s="964">
        <f t="shared" ref="H13" si="12">H12/H$5</f>
        <v>0.11924152809693093</v>
      </c>
      <c r="I13" s="964">
        <f t="shared" ref="I13" si="13">I12/I$5</f>
        <v>0.13050584546180344</v>
      </c>
      <c r="J13" s="893"/>
    </row>
    <row r="14" spans="2:14" ht="13">
      <c r="B14" s="54" t="s">
        <v>175</v>
      </c>
      <c r="C14" s="230">
        <f>'P&amp;L'!C49</f>
        <v>5.6584549999999973</v>
      </c>
      <c r="D14" s="230">
        <f>'P&amp;L'!D49</f>
        <v>2.7497019000000127</v>
      </c>
      <c r="E14" s="230">
        <f>'P&amp;L'!E49</f>
        <v>9.1668323000000171</v>
      </c>
      <c r="F14" s="901">
        <f>'P&amp;L'!F49</f>
        <v>32.838581654784548</v>
      </c>
      <c r="G14" s="901">
        <f>'P&amp;L'!G49</f>
        <v>33.922565959301608</v>
      </c>
      <c r="H14" s="901">
        <f>'P&amp;L'!H49</f>
        <v>51.822964020518853</v>
      </c>
      <c r="I14" s="901">
        <f>'P&amp;L'!I49</f>
        <v>81.49262024633029</v>
      </c>
    </row>
    <row r="15" spans="2:14" ht="13">
      <c r="B15" s="478" t="s">
        <v>255</v>
      </c>
      <c r="C15" s="961">
        <f>C14/C$5</f>
        <v>0.1080131959445203</v>
      </c>
      <c r="D15" s="961">
        <f>D14/D$5</f>
        <v>5.0697816043139624E-2</v>
      </c>
      <c r="E15" s="961">
        <f t="shared" ref="E15" si="14">E14/E$5</f>
        <v>6.024213181932668E-2</v>
      </c>
      <c r="F15" s="964">
        <f t="shared" ref="F15" si="15">F14/F$5</f>
        <v>0.108416266755108</v>
      </c>
      <c r="G15" s="964">
        <f t="shared" ref="G15" si="16">G14/G$5</f>
        <v>7.661277769077518E-2</v>
      </c>
      <c r="H15" s="964">
        <f t="shared" ref="H15" si="17">H14/H$5</f>
        <v>7.8861859995408498E-2</v>
      </c>
      <c r="I15" s="964">
        <f t="shared" ref="I15" si="18">I14/I$5</f>
        <v>8.5649863453102132E-2</v>
      </c>
    </row>
    <row r="16" spans="2:14" ht="13">
      <c r="B16" s="54"/>
      <c r="C16" s="885"/>
      <c r="D16" s="885"/>
      <c r="F16" s="902"/>
    </row>
    <row r="17" spans="2:13" ht="13">
      <c r="B17" s="54" t="s">
        <v>256</v>
      </c>
      <c r="C17" s="230">
        <f>'Balance Sheet'!C38</f>
        <v>9.5605380000000011</v>
      </c>
      <c r="D17" s="230">
        <f>'Balance Sheet'!D38</f>
        <v>12.31024</v>
      </c>
      <c r="E17" s="230">
        <f>'Balance Sheet'!E38</f>
        <v>21.477072300000017</v>
      </c>
      <c r="F17" s="901">
        <f>'Balance Sheet'!F38</f>
        <v>184.31565395478458</v>
      </c>
      <c r="G17" s="901">
        <f>'Balance Sheet'!G38</f>
        <v>218.23821991408619</v>
      </c>
      <c r="H17" s="901">
        <f>'Balance Sheet'!H38</f>
        <v>270.06118393460503</v>
      </c>
      <c r="I17" s="901">
        <f>'Balance Sheet'!I38</f>
        <v>351.55380418093534</v>
      </c>
    </row>
    <row r="18" spans="2:13">
      <c r="B18" s="894" t="s">
        <v>237</v>
      </c>
      <c r="C18" s="222">
        <f>'Balance Sheet'!C28</f>
        <v>0</v>
      </c>
      <c r="D18" s="222">
        <f>'Balance Sheet'!D28</f>
        <v>0</v>
      </c>
      <c r="E18" s="222">
        <f>'Balance Sheet'!E28</f>
        <v>0</v>
      </c>
      <c r="F18" s="904">
        <f>'Balance Sheet'!F28</f>
        <v>0</v>
      </c>
      <c r="G18" s="904">
        <f>'Balance Sheet'!G28</f>
        <v>0</v>
      </c>
      <c r="H18" s="904">
        <f>'Balance Sheet'!H28</f>
        <v>0</v>
      </c>
      <c r="I18" s="904">
        <f>'Balance Sheet'!I28</f>
        <v>0</v>
      </c>
    </row>
    <row r="19" spans="2:13">
      <c r="B19" s="894" t="s">
        <v>200</v>
      </c>
      <c r="C19" s="222">
        <f>'Balance Sheet'!C22</f>
        <v>6.4585489999999997</v>
      </c>
      <c r="D19" s="222">
        <f>'Balance Sheet'!D22</f>
        <v>16.253872000000001</v>
      </c>
      <c r="E19" s="222">
        <f>'Balance Sheet'!E22</f>
        <v>16.410838200000001</v>
      </c>
      <c r="F19" s="904">
        <f>'Balance Sheet'!F22</f>
        <v>0</v>
      </c>
      <c r="G19" s="904">
        <f>'Balance Sheet'!G22</f>
        <v>0</v>
      </c>
      <c r="H19" s="904">
        <f>'Balance Sheet'!H22</f>
        <v>0</v>
      </c>
      <c r="I19" s="904">
        <f>'Balance Sheet'!I22</f>
        <v>0</v>
      </c>
    </row>
    <row r="20" spans="2:13" s="54" customFormat="1" ht="13">
      <c r="B20" s="895" t="s">
        <v>257</v>
      </c>
      <c r="C20" s="230">
        <f>SUM(C18:C19)</f>
        <v>6.4585489999999997</v>
      </c>
      <c r="D20" s="230">
        <f t="shared" ref="D20:I20" si="19">SUM(D18:D19)</f>
        <v>16.253872000000001</v>
      </c>
      <c r="E20" s="230">
        <f t="shared" si="19"/>
        <v>16.410838200000001</v>
      </c>
      <c r="F20" s="901">
        <f t="shared" si="19"/>
        <v>0</v>
      </c>
      <c r="G20" s="901">
        <f t="shared" si="19"/>
        <v>0</v>
      </c>
      <c r="H20" s="901">
        <f t="shared" si="19"/>
        <v>0</v>
      </c>
      <c r="I20" s="901">
        <f t="shared" si="19"/>
        <v>0</v>
      </c>
    </row>
    <row r="21" spans="2:13" ht="13">
      <c r="B21" s="54" t="s">
        <v>258</v>
      </c>
      <c r="C21" s="230"/>
      <c r="D21" s="230"/>
      <c r="E21" s="230"/>
      <c r="F21" s="901"/>
      <c r="G21" s="901"/>
      <c r="H21" s="901"/>
      <c r="I21" s="901"/>
    </row>
    <row r="22" spans="2:13">
      <c r="B22" s="894" t="s">
        <v>259</v>
      </c>
      <c r="C22" s="222">
        <f>'Balance Sheet'!C12-C28</f>
        <v>9.4989660000000011</v>
      </c>
      <c r="D22" s="222">
        <f>'Balance Sheet'!D12-D28</f>
        <v>21.371883199999999</v>
      </c>
      <c r="E22" s="222">
        <f>'Balance Sheet'!E12-E28</f>
        <v>32.799926999999997</v>
      </c>
      <c r="F22" s="904">
        <f>'Balance Sheet'!F12-F28</f>
        <v>73.333676245194965</v>
      </c>
      <c r="G22" s="904">
        <f>'Balance Sheet'!G12-G28</f>
        <v>174.45894687787293</v>
      </c>
      <c r="H22" s="904">
        <f>'Balance Sheet'!H12-H28</f>
        <v>237.13718415725666</v>
      </c>
      <c r="I22" s="904">
        <f>'Balance Sheet'!I12-I28</f>
        <v>261.07131131881397</v>
      </c>
    </row>
    <row r="23" spans="2:13">
      <c r="B23" s="894" t="s">
        <v>260</v>
      </c>
      <c r="C23" s="222">
        <f>'Balance Sheet'!C27-'Balance Sheet'!C22</f>
        <v>2.3253579999999996</v>
      </c>
      <c r="D23" s="222">
        <f>'Balance Sheet'!D27-'Balance Sheet'!D22</f>
        <v>2.4407530000000008</v>
      </c>
      <c r="E23" s="222">
        <f>'Balance Sheet'!E27-'Balance Sheet'!E22</f>
        <v>12.455781299999995</v>
      </c>
      <c r="F23" s="904">
        <f>'Balance Sheet'!F27-'Balance Sheet'!F22</f>
        <v>6.4045799354645006</v>
      </c>
      <c r="G23" s="904">
        <f>'Balance Sheet'!G27-'Balance Sheet'!G22</f>
        <v>8.5702965100097064</v>
      </c>
      <c r="H23" s="904">
        <f>'Balance Sheet'!H27-'Balance Sheet'!H22</f>
        <v>10.731600494193486</v>
      </c>
      <c r="I23" s="904">
        <f>'Balance Sheet'!I27-'Balance Sheet'!I22</f>
        <v>13.434320405775681</v>
      </c>
    </row>
    <row r="24" spans="2:13">
      <c r="B24" s="894" t="s">
        <v>261</v>
      </c>
      <c r="C24" s="222">
        <f>C22-C23</f>
        <v>7.1736080000000015</v>
      </c>
      <c r="D24" s="222">
        <f t="shared" ref="D24:I24" si="20">D22-D23</f>
        <v>18.931130199999998</v>
      </c>
      <c r="E24" s="222">
        <f t="shared" si="20"/>
        <v>20.344145700000002</v>
      </c>
      <c r="F24" s="904">
        <f t="shared" si="20"/>
        <v>66.929096309730468</v>
      </c>
      <c r="G24" s="904">
        <f t="shared" si="20"/>
        <v>165.88865036786322</v>
      </c>
      <c r="H24" s="904">
        <f t="shared" si="20"/>
        <v>226.40558366306317</v>
      </c>
      <c r="I24" s="904">
        <f t="shared" si="20"/>
        <v>247.63699091303829</v>
      </c>
    </row>
    <row r="25" spans="2:13">
      <c r="B25" s="894"/>
      <c r="C25" s="222"/>
      <c r="D25" s="222"/>
      <c r="E25" s="222"/>
      <c r="F25" s="904"/>
      <c r="G25" s="904"/>
      <c r="H25" s="904"/>
      <c r="I25" s="904"/>
    </row>
    <row r="26" spans="2:13" s="54" customFormat="1" ht="13">
      <c r="B26" s="54" t="s">
        <v>262</v>
      </c>
      <c r="C26" s="230"/>
      <c r="D26" s="230">
        <f>AVERAGE(C17:D17)-AVERAGE(C28:D28)</f>
        <v>3.1681728000000007</v>
      </c>
      <c r="E26" s="230">
        <f>AVERAGE(D17:E17)-AVERAGE(D28:E28)</f>
        <v>5.3479661500000084</v>
      </c>
      <c r="F26" s="901">
        <f>AVERAGE(E17:F17)-AVERAGE(E28:F28)</f>
        <v>57.602874278600055</v>
      </c>
      <c r="G26" s="901">
        <f>AVERAGE(F17:G17)-AVERAGE(F28:G28)</f>
        <v>159.77785136815302</v>
      </c>
      <c r="H26" s="901">
        <f t="shared" ref="H26:I26" si="21">AVERAGE(G17:H17)-AVERAGE(G28:H28)</f>
        <v>240.35093147105241</v>
      </c>
      <c r="I26" s="901">
        <f t="shared" si="21"/>
        <v>280.87034557738673</v>
      </c>
      <c r="J26" s="892"/>
      <c r="K26" s="892"/>
      <c r="L26" s="892"/>
      <c r="M26" s="892"/>
    </row>
    <row r="27" spans="2:13" s="54" customFormat="1" ht="13">
      <c r="B27" s="895" t="s">
        <v>263</v>
      </c>
      <c r="C27" s="230"/>
      <c r="D27" s="230">
        <f>('Balance Sheet'!D38+'Balance Sheet'!C38+'Balance Sheet'!D28+'Balance Sheet'!C28)/2-('Balance Sheet'!D5+'Balance Sheet'!C5)/2</f>
        <v>3.1681728000000007</v>
      </c>
      <c r="E27" s="230">
        <f>('Balance Sheet'!E38+'Balance Sheet'!D38+'Balance Sheet'!E28+'Balance Sheet'!D28)/2-('Balance Sheet'!E5+'Balance Sheet'!D5)/2</f>
        <v>5.3479661500000084</v>
      </c>
      <c r="F27" s="901">
        <f>('Balance Sheet'!F38+'Balance Sheet'!E38+'Balance Sheet'!F28+'Balance Sheet'!E28)/2-('Balance Sheet'!F5+'Balance Sheet'!E5)/2</f>
        <v>57.602874278600055</v>
      </c>
      <c r="G27" s="901">
        <f>('Balance Sheet'!G38+'Balance Sheet'!F38+'Balance Sheet'!G28+'Balance Sheet'!F28)/2-('Balance Sheet'!G5+'Balance Sheet'!F5)/2</f>
        <v>159.77785136815302</v>
      </c>
      <c r="H27" s="901">
        <f>('Balance Sheet'!H38+'Balance Sheet'!G38+'Balance Sheet'!H28+'Balance Sheet'!G28)/2-('Balance Sheet'!H5+'Balance Sheet'!G5)/2</f>
        <v>240.35093147105241</v>
      </c>
      <c r="I27" s="901">
        <f>('Balance Sheet'!I38+'Balance Sheet'!H38+'Balance Sheet'!I28+'Balance Sheet'!H28)/2-('Balance Sheet'!I5+'Balance Sheet'!H5)/2</f>
        <v>280.87034557738673</v>
      </c>
    </row>
    <row r="28" spans="2:13" s="54" customFormat="1" ht="13">
      <c r="B28" s="895" t="s">
        <v>264</v>
      </c>
      <c r="C28" s="230">
        <f>'Balance Sheet'!C5</f>
        <v>8.0707539999999991</v>
      </c>
      <c r="D28" s="230">
        <f>'Balance Sheet'!D5</f>
        <v>7.4636784</v>
      </c>
      <c r="E28" s="230">
        <f>'Balance Sheet'!E5</f>
        <v>15.6277016</v>
      </c>
      <c r="F28" s="901">
        <f>'Balance Sheet'!F5</f>
        <v>74.959276097584507</v>
      </c>
      <c r="G28" s="901">
        <f>'Balance Sheet'!G5</f>
        <v>8.0388950349802144</v>
      </c>
      <c r="H28" s="901">
        <f>'Balance Sheet'!H5</f>
        <v>-0.44135412839383292</v>
      </c>
      <c r="I28" s="901">
        <f>'Balance Sheet'!I5</f>
        <v>60.315651089160824</v>
      </c>
    </row>
    <row r="29" spans="2:13" ht="13">
      <c r="B29" s="54"/>
      <c r="C29" s="893"/>
      <c r="D29" s="893"/>
    </row>
    <row r="30" spans="2:13" ht="13">
      <c r="B30" s="896" t="s">
        <v>265</v>
      </c>
      <c r="C30" s="897"/>
      <c r="D30" s="897">
        <f>D14/D26</f>
        <v>0.86791411756328829</v>
      </c>
      <c r="E30" s="897">
        <f>E14/E26</f>
        <v>1.7140782201846962</v>
      </c>
      <c r="F30" s="905">
        <f>F14/F26</f>
        <v>0.57008581717569518</v>
      </c>
      <c r="G30" s="906">
        <f t="shared" ref="G30" si="22">G14/G26</f>
        <v>0.21231081572838739</v>
      </c>
      <c r="H30" s="906">
        <f>H14/H26</f>
        <v>0.21561374321846699</v>
      </c>
      <c r="I30" s="905">
        <f>I14/I26</f>
        <v>0.29014319784741055</v>
      </c>
      <c r="J30" s="898"/>
      <c r="K30" s="898"/>
      <c r="L30" s="898"/>
      <c r="M30" s="898"/>
    </row>
    <row r="31" spans="2:13" ht="13">
      <c r="B31" s="896" t="s">
        <v>266</v>
      </c>
      <c r="C31" s="899"/>
      <c r="D31" s="899"/>
      <c r="E31" s="899"/>
      <c r="F31" s="907"/>
      <c r="G31" s="907"/>
      <c r="H31" s="907"/>
      <c r="I31" s="907"/>
    </row>
    <row r="32" spans="2:13" ht="13">
      <c r="B32" s="896"/>
      <c r="C32" s="899"/>
      <c r="D32" s="899"/>
      <c r="E32" s="899"/>
      <c r="F32" s="907"/>
      <c r="G32" s="907"/>
      <c r="H32" s="907"/>
      <c r="I32" s="907"/>
    </row>
    <row r="33" spans="2:9" ht="13">
      <c r="B33" s="896"/>
      <c r="C33" s="899"/>
      <c r="D33" s="899"/>
      <c r="E33" s="899"/>
      <c r="F33" s="907"/>
      <c r="G33" s="907"/>
      <c r="H33" s="907"/>
      <c r="I33" s="907"/>
    </row>
    <row r="34" spans="2:9" ht="13">
      <c r="B34" s="896"/>
      <c r="C34" s="899"/>
      <c r="D34" s="899"/>
      <c r="E34" s="899"/>
      <c r="F34" s="907"/>
      <c r="G34" s="907"/>
      <c r="H34" s="907"/>
      <c r="I34" s="907"/>
    </row>
    <row r="35" spans="2:9">
      <c r="B35" s="67" t="s">
        <v>267</v>
      </c>
    </row>
    <row r="36" spans="2:9" ht="13">
      <c r="B36" s="73"/>
      <c r="C36" s="54"/>
    </row>
    <row r="37" spans="2:9" hidden="1">
      <c r="B37" s="67" t="s">
        <v>268</v>
      </c>
      <c r="C37" s="222"/>
      <c r="D37" s="222"/>
      <c r="E37" s="222"/>
    </row>
    <row r="38" spans="2:9" hidden="1">
      <c r="B38" s="67" t="s">
        <v>269</v>
      </c>
    </row>
    <row r="39" spans="2:9" hidden="1">
      <c r="B39" s="67" t="s">
        <v>270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3BB-D314-41C1-BCBE-160126079B89}">
  <dimension ref="B1:K36"/>
  <sheetViews>
    <sheetView showGridLines="0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4" sqref="B14"/>
    </sheetView>
  </sheetViews>
  <sheetFormatPr defaultColWidth="9" defaultRowHeight="12.5"/>
  <cols>
    <col min="1" max="1" width="9" style="67"/>
    <col min="2" max="2" width="42.54296875" style="67" bestFit="1" customWidth="1"/>
    <col min="3" max="6" width="14.453125" style="67" bestFit="1" customWidth="1"/>
    <col min="7" max="16384" width="9" style="67"/>
  </cols>
  <sheetData>
    <row r="1" spans="2:8" ht="13">
      <c r="F1" s="478" t="s">
        <v>329</v>
      </c>
      <c r="H1" s="67">
        <v>12</v>
      </c>
    </row>
    <row r="2" spans="2:8" ht="13">
      <c r="B2" s="466" t="s">
        <v>330</v>
      </c>
      <c r="C2" s="466"/>
      <c r="D2" s="466"/>
      <c r="E2" s="466"/>
      <c r="F2" s="466"/>
    </row>
    <row r="3" spans="2:8" ht="26">
      <c r="B3" s="915" t="s">
        <v>149</v>
      </c>
      <c r="C3" s="532" t="s">
        <v>181</v>
      </c>
      <c r="D3" s="532" t="s">
        <v>182</v>
      </c>
      <c r="E3" s="532" t="s">
        <v>183</v>
      </c>
      <c r="F3" s="532" t="s">
        <v>184</v>
      </c>
    </row>
    <row r="4" spans="2:8">
      <c r="B4" s="916" t="s">
        <v>331</v>
      </c>
      <c r="C4" s="1006">
        <v>3</v>
      </c>
      <c r="D4" s="1006">
        <v>12</v>
      </c>
      <c r="E4" s="1006">
        <v>12</v>
      </c>
      <c r="F4" s="1006">
        <v>12</v>
      </c>
    </row>
    <row r="5" spans="2:8" ht="13">
      <c r="B5" s="916" t="s">
        <v>6</v>
      </c>
      <c r="C5" s="921">
        <f>C21</f>
        <v>15</v>
      </c>
      <c r="D5" s="921">
        <f t="shared" ref="D5:F5" si="0">D21</f>
        <v>180</v>
      </c>
      <c r="E5" s="921">
        <f t="shared" si="0"/>
        <v>225</v>
      </c>
      <c r="F5" s="921">
        <f t="shared" si="0"/>
        <v>255</v>
      </c>
    </row>
    <row r="6" spans="2:8" ht="13">
      <c r="B6" s="67" t="s">
        <v>94</v>
      </c>
      <c r="C6" s="922">
        <f>SUM(C7:C8)</f>
        <v>12.015000000000001</v>
      </c>
      <c r="D6" s="922">
        <f>SUM(D7:D8)</f>
        <v>141.72300000000001</v>
      </c>
      <c r="E6" s="922">
        <f>SUM(E7:E8)</f>
        <v>176.88915</v>
      </c>
      <c r="F6" s="922">
        <f>SUM(F7:F8)</f>
        <v>200.35860750000001</v>
      </c>
    </row>
    <row r="7" spans="2:8" ht="25">
      <c r="B7" s="917" t="s">
        <v>332</v>
      </c>
      <c r="C7" s="536">
        <f>C23*'Manufacturing Setup '!C5</f>
        <v>11.700000000000001</v>
      </c>
      <c r="D7" s="536">
        <f>D23*'Manufacturing Setup '!D5</f>
        <v>140.4</v>
      </c>
      <c r="E7" s="536">
        <f>E23*'Manufacturing Setup '!E5</f>
        <v>175.5</v>
      </c>
      <c r="F7" s="536">
        <f>F23*'Manufacturing Setup '!F5</f>
        <v>198.9</v>
      </c>
    </row>
    <row r="8" spans="2:8">
      <c r="B8" s="918" t="s">
        <v>333</v>
      </c>
      <c r="C8" s="919">
        <f>C29/10^7</f>
        <v>0.315</v>
      </c>
      <c r="D8" s="919">
        <f>D29/10^7</f>
        <v>1.323</v>
      </c>
      <c r="E8" s="919">
        <f>E29/10^7</f>
        <v>1.3891500000000001</v>
      </c>
      <c r="F8" s="919">
        <f>F29/10^7</f>
        <v>1.4586075000000003</v>
      </c>
    </row>
    <row r="9" spans="2:8" ht="13" thickBot="1">
      <c r="B9" s="933" t="s">
        <v>164</v>
      </c>
      <c r="C9" s="934">
        <f>C5-C6</f>
        <v>2.9849999999999994</v>
      </c>
      <c r="D9" s="934">
        <f t="shared" ref="D9:F9" si="1">D5-D6</f>
        <v>38.276999999999987</v>
      </c>
      <c r="E9" s="934">
        <f t="shared" si="1"/>
        <v>48.110849999999999</v>
      </c>
      <c r="F9" s="934">
        <f t="shared" si="1"/>
        <v>54.641392499999995</v>
      </c>
    </row>
    <row r="10" spans="2:8" ht="13" thickTop="1"/>
    <row r="14" spans="2:8" ht="13">
      <c r="B14" s="54" t="s">
        <v>334</v>
      </c>
    </row>
    <row r="16" spans="2:8" ht="13">
      <c r="B16" s="342" t="s">
        <v>335</v>
      </c>
      <c r="C16" s="318"/>
      <c r="D16" s="318"/>
      <c r="E16" s="318"/>
      <c r="F16" s="318"/>
    </row>
    <row r="17" spans="2:11">
      <c r="B17" s="67" t="s">
        <v>689</v>
      </c>
      <c r="C17" s="67">
        <v>300</v>
      </c>
      <c r="D17" s="67">
        <v>300</v>
      </c>
      <c r="E17" s="67">
        <v>300</v>
      </c>
      <c r="F17" s="67">
        <v>300</v>
      </c>
    </row>
    <row r="18" spans="2:11">
      <c r="B18" s="67" t="s">
        <v>690</v>
      </c>
      <c r="C18" s="155">
        <v>0.05</v>
      </c>
      <c r="D18" s="155">
        <v>0.6</v>
      </c>
      <c r="E18" s="155">
        <v>0.75</v>
      </c>
      <c r="F18" s="155">
        <v>0.85</v>
      </c>
      <c r="K18" s="155"/>
    </row>
    <row r="19" spans="2:11">
      <c r="B19" s="67" t="s">
        <v>336</v>
      </c>
      <c r="C19" s="997">
        <v>1</v>
      </c>
      <c r="D19" s="997">
        <v>1</v>
      </c>
      <c r="E19" s="997">
        <v>1</v>
      </c>
      <c r="F19" s="997">
        <v>1</v>
      </c>
    </row>
    <row r="20" spans="2:11">
      <c r="B20" s="67" t="s">
        <v>337</v>
      </c>
      <c r="C20" s="67">
        <f>C17*C19*$K$20</f>
        <v>255</v>
      </c>
      <c r="D20" s="67">
        <f>D17*D19*$K$20</f>
        <v>255</v>
      </c>
      <c r="E20" s="67">
        <f>E17*E19*$K$20</f>
        <v>255</v>
      </c>
      <c r="F20" s="67">
        <f>F17*F19*$K$20</f>
        <v>255</v>
      </c>
      <c r="K20" s="155">
        <v>0.85</v>
      </c>
    </row>
    <row r="21" spans="2:11" ht="13" thickBot="1">
      <c r="B21" s="67" t="s">
        <v>338</v>
      </c>
      <c r="C21" s="934">
        <f>C17*C18</f>
        <v>15</v>
      </c>
      <c r="D21" s="934">
        <f>D17*D18</f>
        <v>180</v>
      </c>
      <c r="E21" s="934">
        <f t="shared" ref="E21:F21" si="2">E17*E18</f>
        <v>225</v>
      </c>
      <c r="F21" s="934">
        <f t="shared" si="2"/>
        <v>255</v>
      </c>
    </row>
    <row r="22" spans="2:11" ht="13" thickTop="1"/>
    <row r="23" spans="2:11" ht="13.5" thickBot="1">
      <c r="B23" s="342" t="s">
        <v>339</v>
      </c>
      <c r="C23" s="920">
        <v>0.78</v>
      </c>
      <c r="D23" s="920">
        <v>0.78</v>
      </c>
      <c r="E23" s="920">
        <v>0.78</v>
      </c>
      <c r="F23" s="920">
        <v>0.78</v>
      </c>
    </row>
    <row r="24" spans="2:11" ht="13" thickTop="1"/>
    <row r="25" spans="2:11" ht="13">
      <c r="B25" s="342" t="s">
        <v>333</v>
      </c>
      <c r="C25" s="318"/>
      <c r="D25" s="318"/>
      <c r="E25" s="318"/>
      <c r="F25" s="318"/>
    </row>
    <row r="26" spans="2:11">
      <c r="B26" s="67" t="s">
        <v>90</v>
      </c>
      <c r="C26" s="166">
        <f>$K$26*C17</f>
        <v>52500</v>
      </c>
      <c r="D26" s="166">
        <f t="shared" ref="D26:F26" si="3">$K$26*D17</f>
        <v>52500</v>
      </c>
      <c r="E26" s="166">
        <f t="shared" si="3"/>
        <v>52500</v>
      </c>
      <c r="F26" s="166">
        <f t="shared" si="3"/>
        <v>52500</v>
      </c>
      <c r="G26" s="67" t="s">
        <v>691</v>
      </c>
      <c r="K26" s="67">
        <v>175</v>
      </c>
    </row>
    <row r="27" spans="2:11">
      <c r="B27" s="67" t="s">
        <v>340</v>
      </c>
      <c r="C27" s="166"/>
      <c r="D27" s="772">
        <v>0.05</v>
      </c>
      <c r="E27" s="772">
        <v>0.05</v>
      </c>
      <c r="F27" s="772">
        <v>0.05</v>
      </c>
    </row>
    <row r="28" spans="2:11">
      <c r="B28" s="67" t="s">
        <v>341</v>
      </c>
      <c r="C28" s="166">
        <v>20</v>
      </c>
      <c r="D28" s="166">
        <f>C28*(100%+D27)</f>
        <v>21</v>
      </c>
      <c r="E28" s="166">
        <f>D28*(100%+E27)</f>
        <v>22.05</v>
      </c>
      <c r="F28" s="166">
        <f>E28*(100%+F27)</f>
        <v>23.152500000000003</v>
      </c>
    </row>
    <row r="29" spans="2:11" ht="13" thickBot="1">
      <c r="B29" s="67" t="s">
        <v>299</v>
      </c>
      <c r="C29" s="435">
        <f>C26*C28*C4</f>
        <v>3150000</v>
      </c>
      <c r="D29" s="435">
        <f>D26*D28*D4</f>
        <v>13230000</v>
      </c>
      <c r="E29" s="435">
        <f t="shared" ref="E29:F29" si="4">E26*E28*E4</f>
        <v>13891500</v>
      </c>
      <c r="F29" s="435">
        <f t="shared" si="4"/>
        <v>14586075.000000004</v>
      </c>
    </row>
    <row r="30" spans="2:11" ht="13" thickTop="1"/>
    <row r="31" spans="2:11" ht="13">
      <c r="B31" s="342" t="s">
        <v>342</v>
      </c>
      <c r="C31" s="318">
        <f>SUM(C32:C33)</f>
        <v>36</v>
      </c>
      <c r="D31" s="318">
        <f t="shared" ref="D31:F31" si="5">SUM(D32:D33)</f>
        <v>1</v>
      </c>
      <c r="E31" s="318">
        <f t="shared" si="5"/>
        <v>1</v>
      </c>
      <c r="F31" s="318">
        <f t="shared" si="5"/>
        <v>1</v>
      </c>
    </row>
    <row r="32" spans="2:11">
      <c r="B32" s="67" t="s">
        <v>343</v>
      </c>
      <c r="C32" s="67">
        <f>(K32)*C17</f>
        <v>30</v>
      </c>
      <c r="D32" s="67">
        <v>0.7</v>
      </c>
      <c r="E32" s="67">
        <v>0.7</v>
      </c>
      <c r="F32" s="67">
        <v>0.7</v>
      </c>
      <c r="G32" s="67" t="s">
        <v>695</v>
      </c>
      <c r="K32" s="67">
        <v>0.1</v>
      </c>
    </row>
    <row r="33" spans="2:6">
      <c r="B33" s="67" t="s">
        <v>688</v>
      </c>
      <c r="C33" s="67">
        <v>6</v>
      </c>
      <c r="D33" s="67">
        <v>0.3</v>
      </c>
      <c r="E33" s="67">
        <v>0.3</v>
      </c>
      <c r="F33" s="67">
        <v>0.3</v>
      </c>
    </row>
    <row r="36" spans="2:6" ht="13">
      <c r="B36" s="54"/>
    </row>
  </sheetData>
  <pageMargins left="0.7" right="0.7" top="0.75" bottom="0.75" header="0.3" footer="0.3"/>
  <customProperties>
    <customPr name="OrphanNamesChecke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5345-288D-CD4F-A7B7-F7D36E9FE54E}">
  <dimension ref="A1:BL149"/>
  <sheetViews>
    <sheetView showGridLines="0" zoomScale="60" zoomScaleNormal="60" workbookViewId="0">
      <pane xSplit="4" ySplit="5" topLeftCell="E120" activePane="bottomRight" state="frozen"/>
      <selection pane="topRight" activeCell="E1" sqref="E1"/>
      <selection pane="bottomLeft" activeCell="A6" sqref="A6"/>
      <selection pane="bottomRight" activeCell="D125" sqref="D125"/>
    </sheetView>
  </sheetViews>
  <sheetFormatPr defaultColWidth="9.1796875" defaultRowHeight="12.5"/>
  <cols>
    <col min="1" max="1" width="4.1796875" style="67" customWidth="1"/>
    <col min="2" max="2" width="13.54296875" style="68" bestFit="1" customWidth="1"/>
    <col min="3" max="3" width="17.54296875" style="67" customWidth="1"/>
    <col min="4" max="4" width="15.81640625" style="68" customWidth="1"/>
    <col min="5" max="5" width="13.1796875" style="68" bestFit="1" customWidth="1"/>
    <col min="6" max="6" width="12.453125" style="68" bestFit="1" customWidth="1"/>
    <col min="7" max="7" width="17.81640625" style="68" bestFit="1" customWidth="1"/>
    <col min="8" max="8" width="14.453125" style="67" bestFit="1" customWidth="1"/>
    <col min="9" max="9" width="11.81640625" style="67" bestFit="1" customWidth="1"/>
    <col min="10" max="10" width="19.1796875" style="67" bestFit="1" customWidth="1"/>
    <col min="11" max="11" width="13.1796875" style="67" bestFit="1" customWidth="1"/>
    <col min="12" max="12" width="8.81640625" style="67" bestFit="1" customWidth="1"/>
    <col min="13" max="13" width="18" style="67" bestFit="1" customWidth="1"/>
    <col min="14" max="14" width="15.1796875" style="67" bestFit="1" customWidth="1"/>
    <col min="15" max="15" width="11.81640625" style="67" bestFit="1" customWidth="1"/>
    <col min="16" max="16" width="19.1796875" style="67" bestFit="1" customWidth="1"/>
    <col min="17" max="17" width="13.1796875" style="67" bestFit="1" customWidth="1"/>
    <col min="18" max="18" width="13.1796875" style="67" customWidth="1"/>
    <col min="19" max="19" width="10" style="67" bestFit="1" customWidth="1"/>
    <col min="20" max="20" width="17.453125" style="67" bestFit="1" customWidth="1"/>
    <col min="21" max="21" width="14.81640625" style="67" bestFit="1" customWidth="1"/>
    <col min="22" max="22" width="11.81640625" style="67" bestFit="1" customWidth="1"/>
    <col min="23" max="23" width="19.81640625" style="67" bestFit="1" customWidth="1"/>
    <col min="24" max="24" width="13.1796875" style="67" bestFit="1" customWidth="1"/>
    <col min="25" max="25" width="13.1796875" style="67" customWidth="1"/>
    <col min="26" max="26" width="9.54296875" style="67" bestFit="1" customWidth="1"/>
    <col min="27" max="27" width="7.7265625" style="67" customWidth="1"/>
    <col min="28" max="28" width="10.7265625" style="67" customWidth="1"/>
    <col min="29" max="29" width="9.81640625" style="67" customWidth="1"/>
    <col min="30" max="30" width="20.81640625" style="67" bestFit="1" customWidth="1"/>
    <col min="31" max="31" width="13.1796875" style="67" bestFit="1" customWidth="1"/>
    <col min="32" max="32" width="13.1796875" style="67" customWidth="1"/>
    <col min="33" max="33" width="9.54296875" style="67" bestFit="1" customWidth="1"/>
    <col min="34" max="34" width="6.54296875" style="67" customWidth="1"/>
    <col min="35" max="35" width="9.453125" style="67" bestFit="1" customWidth="1"/>
    <col min="36" max="36" width="8.81640625" style="67" customWidth="1"/>
    <col min="37" max="37" width="21" style="67" bestFit="1" customWidth="1"/>
    <col min="38" max="38" width="13.1796875" style="67" bestFit="1" customWidth="1"/>
    <col min="39" max="39" width="13.1796875" style="67" customWidth="1"/>
    <col min="40" max="40" width="8.81640625" style="67" bestFit="1" customWidth="1"/>
    <col min="41" max="41" width="6.54296875" style="67" customWidth="1"/>
    <col min="42" max="42" width="10.81640625" style="67" customWidth="1"/>
    <col min="43" max="43" width="11.81640625" style="67" customWidth="1"/>
    <col min="44" max="44" width="20.54296875" style="67" bestFit="1" customWidth="1"/>
    <col min="45" max="45" width="13.1796875" style="67" bestFit="1" customWidth="1"/>
    <col min="46" max="46" width="13.1796875" style="67" customWidth="1"/>
    <col min="47" max="47" width="9.54296875" style="67" bestFit="1" customWidth="1"/>
    <col min="48" max="48" width="6.54296875" style="67" customWidth="1"/>
    <col min="49" max="50" width="10.54296875" style="67" customWidth="1"/>
    <col min="51" max="51" width="20.54296875" style="67" bestFit="1" customWidth="1"/>
    <col min="52" max="52" width="9.1796875" style="67" bestFit="1" customWidth="1"/>
    <col min="53" max="53" width="18.54296875" style="67" bestFit="1" customWidth="1"/>
    <col min="54" max="54" width="20.453125" style="67" customWidth="1"/>
    <col min="55" max="55" width="18.81640625" style="67" bestFit="1" customWidth="1"/>
    <col min="56" max="56" width="18.54296875" style="67" bestFit="1" customWidth="1"/>
    <col min="57" max="57" width="18.81640625" style="67" bestFit="1" customWidth="1"/>
    <col min="58" max="58" width="3" style="67" customWidth="1"/>
    <col min="59" max="64" width="11.54296875" style="67" bestFit="1" customWidth="1"/>
    <col min="65" max="16384" width="9.1796875" style="67"/>
  </cols>
  <sheetData>
    <row r="1" spans="1:64">
      <c r="J1" s="318"/>
      <c r="P1" s="318"/>
      <c r="W1" s="318"/>
      <c r="AD1" s="318"/>
      <c r="AK1" s="318"/>
      <c r="AR1" s="318"/>
      <c r="AY1" s="318"/>
    </row>
    <row r="2" spans="1:64" ht="15.5">
      <c r="B2" s="66" t="s">
        <v>271</v>
      </c>
      <c r="G2" s="69"/>
      <c r="H2" s="70"/>
      <c r="I2" s="70"/>
      <c r="J2" s="318"/>
      <c r="P2" s="318"/>
      <c r="W2" s="318"/>
      <c r="AD2" s="318"/>
      <c r="AK2" s="318"/>
      <c r="AR2" s="318"/>
      <c r="AY2" s="318"/>
      <c r="BA2" s="67" t="s">
        <v>272</v>
      </c>
      <c r="BH2" s="67" t="s">
        <v>273</v>
      </c>
    </row>
    <row r="3" spans="1:64">
      <c r="J3" s="318"/>
      <c r="P3" s="318"/>
      <c r="W3" s="337"/>
      <c r="X3" s="71" t="s">
        <v>274</v>
      </c>
      <c r="Y3" s="71"/>
      <c r="AD3" s="337"/>
      <c r="AE3" s="71" t="s">
        <v>274</v>
      </c>
      <c r="AF3" s="71"/>
      <c r="AK3" s="337"/>
      <c r="AL3" s="71" t="s">
        <v>274</v>
      </c>
      <c r="AM3" s="71"/>
      <c r="AR3" s="337"/>
      <c r="AS3" s="71" t="s">
        <v>274</v>
      </c>
      <c r="AT3" s="71"/>
      <c r="AY3" s="337"/>
      <c r="BI3" s="67">
        <v>3</v>
      </c>
    </row>
    <row r="4" spans="1:64" s="73" customFormat="1" ht="15" customHeight="1">
      <c r="B4" s="72"/>
      <c r="D4" s="72"/>
      <c r="E4" s="1021" t="s">
        <v>275</v>
      </c>
      <c r="F4" s="1022"/>
      <c r="G4" s="1022"/>
      <c r="H4" s="1022"/>
      <c r="I4" s="1022"/>
      <c r="J4" s="1023"/>
      <c r="K4" s="1022" t="s">
        <v>276</v>
      </c>
      <c r="L4" s="1022"/>
      <c r="M4" s="1022"/>
      <c r="N4" s="1022"/>
      <c r="O4" s="1022"/>
      <c r="P4" s="1022"/>
      <c r="Q4" s="1022" t="s">
        <v>277</v>
      </c>
      <c r="R4" s="1022"/>
      <c r="S4" s="1022"/>
      <c r="T4" s="1022"/>
      <c r="U4" s="1022"/>
      <c r="V4" s="1022"/>
      <c r="W4" s="1022"/>
      <c r="X4" s="74" t="s">
        <v>278</v>
      </c>
      <c r="Y4" s="74"/>
      <c r="Z4" s="74"/>
      <c r="AA4" s="74"/>
      <c r="AB4" s="74"/>
      <c r="AC4" s="74"/>
      <c r="AD4" s="341"/>
      <c r="AE4" s="74" t="s">
        <v>279</v>
      </c>
      <c r="AF4" s="74"/>
      <c r="AG4" s="74"/>
      <c r="AH4" s="74"/>
      <c r="AI4" s="74"/>
      <c r="AJ4" s="74"/>
      <c r="AK4" s="74"/>
      <c r="AL4" s="74" t="s">
        <v>280</v>
      </c>
      <c r="AM4" s="74"/>
      <c r="AN4" s="74"/>
      <c r="AO4" s="74"/>
      <c r="AP4" s="74"/>
      <c r="AQ4" s="74"/>
      <c r="AR4" s="74"/>
      <c r="AS4" s="74" t="s">
        <v>281</v>
      </c>
      <c r="AT4" s="74"/>
      <c r="AU4" s="74"/>
      <c r="AV4" s="74"/>
      <c r="AW4" s="74"/>
      <c r="AX4" s="74"/>
      <c r="AY4" s="74"/>
      <c r="BA4" s="203" t="s">
        <v>277</v>
      </c>
      <c r="BB4" s="203" t="s">
        <v>278</v>
      </c>
      <c r="BC4" s="274" t="s">
        <v>279</v>
      </c>
      <c r="BD4" s="279" t="s">
        <v>280</v>
      </c>
      <c r="BE4" s="274" t="s">
        <v>281</v>
      </c>
      <c r="BH4" s="203" t="s">
        <v>277</v>
      </c>
      <c r="BI4" s="203" t="s">
        <v>278</v>
      </c>
      <c r="BJ4" s="274" t="s">
        <v>279</v>
      </c>
      <c r="BK4" s="279" t="s">
        <v>280</v>
      </c>
      <c r="BL4" s="274" t="s">
        <v>281</v>
      </c>
    </row>
    <row r="5" spans="1:64" s="78" customFormat="1" ht="27" customHeight="1">
      <c r="B5" s="75" t="s">
        <v>87</v>
      </c>
      <c r="C5" s="76" t="s">
        <v>282</v>
      </c>
      <c r="D5" s="77" t="s">
        <v>283</v>
      </c>
      <c r="E5" s="288" t="s">
        <v>284</v>
      </c>
      <c r="F5" s="75" t="s">
        <v>285</v>
      </c>
      <c r="G5" s="75" t="s">
        <v>286</v>
      </c>
      <c r="H5" s="75" t="s">
        <v>287</v>
      </c>
      <c r="I5" s="75" t="s">
        <v>288</v>
      </c>
      <c r="J5" s="319" t="s">
        <v>289</v>
      </c>
      <c r="K5" s="287" t="s">
        <v>284</v>
      </c>
      <c r="L5" s="75" t="s">
        <v>285</v>
      </c>
      <c r="M5" s="75" t="s">
        <v>286</v>
      </c>
      <c r="N5" s="75" t="s">
        <v>287</v>
      </c>
      <c r="O5" s="75" t="s">
        <v>288</v>
      </c>
      <c r="P5" s="319" t="s">
        <v>290</v>
      </c>
      <c r="Q5" s="76" t="s">
        <v>291</v>
      </c>
      <c r="R5" s="76" t="s">
        <v>284</v>
      </c>
      <c r="S5" s="75" t="s">
        <v>285</v>
      </c>
      <c r="T5" s="75" t="s">
        <v>286</v>
      </c>
      <c r="U5" s="77" t="s">
        <v>287</v>
      </c>
      <c r="V5" s="75" t="s">
        <v>288</v>
      </c>
      <c r="W5" s="319" t="s">
        <v>290</v>
      </c>
      <c r="X5" s="76" t="s">
        <v>291</v>
      </c>
      <c r="Y5" s="76" t="s">
        <v>284</v>
      </c>
      <c r="Z5" s="75" t="s">
        <v>285</v>
      </c>
      <c r="AA5" s="75" t="s">
        <v>286</v>
      </c>
      <c r="AB5" s="75" t="s">
        <v>287</v>
      </c>
      <c r="AC5" s="75" t="s">
        <v>288</v>
      </c>
      <c r="AD5" s="319" t="s">
        <v>6</v>
      </c>
      <c r="AE5" s="76" t="s">
        <v>291</v>
      </c>
      <c r="AF5" s="76" t="s">
        <v>284</v>
      </c>
      <c r="AG5" s="75" t="s">
        <v>285</v>
      </c>
      <c r="AH5" s="75" t="s">
        <v>286</v>
      </c>
      <c r="AI5" s="75" t="s">
        <v>287</v>
      </c>
      <c r="AJ5" s="75" t="s">
        <v>288</v>
      </c>
      <c r="AK5" s="319" t="s">
        <v>6</v>
      </c>
      <c r="AL5" s="76" t="s">
        <v>291</v>
      </c>
      <c r="AM5" s="76" t="s">
        <v>284</v>
      </c>
      <c r="AN5" s="75" t="s">
        <v>285</v>
      </c>
      <c r="AO5" s="75" t="s">
        <v>286</v>
      </c>
      <c r="AP5" s="75" t="s">
        <v>287</v>
      </c>
      <c r="AQ5" s="75" t="s">
        <v>288</v>
      </c>
      <c r="AR5" s="319" t="s">
        <v>6</v>
      </c>
      <c r="AS5" s="76" t="s">
        <v>291</v>
      </c>
      <c r="AT5" s="76" t="s">
        <v>284</v>
      </c>
      <c r="AU5" s="75" t="s">
        <v>285</v>
      </c>
      <c r="AV5" s="75" t="s">
        <v>286</v>
      </c>
      <c r="AW5" s="75" t="s">
        <v>287</v>
      </c>
      <c r="AX5" s="75" t="s">
        <v>288</v>
      </c>
      <c r="AY5" s="319" t="s">
        <v>6</v>
      </c>
    </row>
    <row r="6" spans="1:64" s="68" customFormat="1" ht="27" customHeight="1">
      <c r="B6" s="79" t="s">
        <v>292</v>
      </c>
      <c r="C6" s="80"/>
      <c r="D6" s="81"/>
      <c r="E6" s="289"/>
      <c r="F6" s="79"/>
      <c r="G6" s="79"/>
      <c r="H6" s="79"/>
      <c r="I6" s="79"/>
      <c r="J6" s="320"/>
      <c r="K6" s="79"/>
      <c r="L6" s="79"/>
      <c r="M6" s="79"/>
      <c r="N6" s="79"/>
      <c r="O6" s="79"/>
      <c r="P6" s="320"/>
      <c r="Q6" s="79"/>
      <c r="R6" s="79"/>
      <c r="S6" s="79"/>
      <c r="T6" s="79"/>
      <c r="U6" s="79"/>
      <c r="V6" s="79"/>
      <c r="W6" s="320"/>
      <c r="X6" s="79"/>
      <c r="Y6" s="79"/>
      <c r="Z6" s="79"/>
      <c r="AA6" s="79"/>
      <c r="AB6" s="79"/>
      <c r="AC6" s="79"/>
      <c r="AD6" s="320"/>
      <c r="AE6" s="79"/>
      <c r="AF6" s="79"/>
      <c r="AG6" s="79"/>
      <c r="AH6" s="79"/>
      <c r="AI6" s="79"/>
      <c r="AJ6" s="79"/>
      <c r="AK6" s="320"/>
      <c r="AL6" s="79"/>
      <c r="AM6" s="79"/>
      <c r="AN6" s="79"/>
      <c r="AO6" s="79"/>
      <c r="AP6" s="79"/>
      <c r="AQ6" s="79"/>
      <c r="AR6" s="320"/>
      <c r="AS6" s="79"/>
      <c r="AT6" s="79"/>
      <c r="AU6" s="79"/>
      <c r="AV6" s="79"/>
      <c r="AW6" s="79"/>
      <c r="AX6" s="79"/>
      <c r="AY6" s="320"/>
      <c r="BC6" s="283"/>
    </row>
    <row r="7" spans="1:64">
      <c r="B7" s="68" t="s">
        <v>95</v>
      </c>
      <c r="C7" s="149" t="s">
        <v>293</v>
      </c>
      <c r="D7" s="68" t="s">
        <v>294</v>
      </c>
      <c r="E7" s="290">
        <v>72</v>
      </c>
      <c r="F7" s="157"/>
      <c r="G7" s="157">
        <v>2283825</v>
      </c>
      <c r="H7" s="157">
        <v>5848</v>
      </c>
      <c r="I7" s="158">
        <f t="shared" ref="I7:I12" si="0">J7/H7</f>
        <v>10736.240282147724</v>
      </c>
      <c r="J7" s="321">
        <v>62785533.169999897</v>
      </c>
      <c r="K7" s="158">
        <v>101</v>
      </c>
      <c r="L7" s="158"/>
      <c r="M7" s="158">
        <v>6148770</v>
      </c>
      <c r="N7" s="158">
        <v>12387</v>
      </c>
      <c r="O7" s="158">
        <f t="shared" ref="O7:O35" si="1">P7/N7</f>
        <v>14807.22205860983</v>
      </c>
      <c r="P7" s="321">
        <v>183417059.63999996</v>
      </c>
      <c r="Q7" s="158">
        <f>202</f>
        <v>202</v>
      </c>
      <c r="R7" s="158">
        <f>Q7-S7</f>
        <v>131</v>
      </c>
      <c r="S7" s="1024">
        <f>VLOOKUP($C7,Assum!$B$11:$G$22,2,FALSE)*HLOOKUP($B7,Assum!$C$9:$G$10,2,FALSE)*S$55</f>
        <v>71</v>
      </c>
      <c r="T7" s="158">
        <v>39856180</v>
      </c>
      <c r="U7" s="158">
        <v>76510</v>
      </c>
      <c r="V7" s="158">
        <f t="shared" ref="V7:V31" si="2">W7/U7</f>
        <v>9972.5176227944066</v>
      </c>
      <c r="W7" s="321">
        <v>762997323.32000005</v>
      </c>
      <c r="X7" s="248">
        <f>Y7+Z7</f>
        <v>416.11249999999995</v>
      </c>
      <c r="Y7" s="248">
        <f>SUM(R7:R10)+(Y$60*Assum!$C$38)</f>
        <v>344.76249999999999</v>
      </c>
      <c r="Z7" s="248">
        <f>S7+(Z$61*Assum!$C$28)</f>
        <v>71.349999999999994</v>
      </c>
      <c r="AA7" s="68"/>
      <c r="AB7" s="68"/>
      <c r="AC7" s="68"/>
      <c r="AD7" s="321">
        <f>$BB7*($BI$7)</f>
        <v>1088822602.812</v>
      </c>
      <c r="AE7" s="248">
        <f>AF7+AG7</f>
        <v>421.73749999999995</v>
      </c>
      <c r="AF7" s="248">
        <f>Y7+(AF$60*Assum!$D$38)</f>
        <v>350.01249999999999</v>
      </c>
      <c r="AG7" s="248">
        <f>Z7+(AG$61*Assum!$D$28)</f>
        <v>71.724999999999994</v>
      </c>
      <c r="AH7" s="68"/>
      <c r="AI7" s="68"/>
      <c r="AJ7" s="68"/>
      <c r="AK7" s="321">
        <f>$BC7*($BJ$7)</f>
        <v>1429079666.1907499</v>
      </c>
      <c r="AL7" s="248">
        <f>AM7+AN7</f>
        <v>427.93749999999994</v>
      </c>
      <c r="AM7" s="248">
        <f>AF7+(AM$60*Assum!$E$38)</f>
        <v>355.78749999999997</v>
      </c>
      <c r="AN7" s="248">
        <f>AG7+(AN$61*Assum!$E$28)</f>
        <v>72.149999999999991</v>
      </c>
      <c r="AO7" s="68"/>
      <c r="AP7" s="68"/>
      <c r="AQ7" s="68"/>
      <c r="AR7" s="321">
        <f>$BD7*($BK$7)</f>
        <v>1837388142.24525</v>
      </c>
      <c r="AS7" s="248">
        <f>AT7+AU7</f>
        <v>434.74999999999994</v>
      </c>
      <c r="AT7" s="248">
        <f>AM7+(AT$60*Assum!$F$38)</f>
        <v>362.12499999999994</v>
      </c>
      <c r="AU7" s="248">
        <f>AN7+(AU$61*Assum!$E$28)</f>
        <v>72.624999999999986</v>
      </c>
      <c r="AV7" s="248"/>
      <c r="AW7" s="248"/>
      <c r="AX7" s="248"/>
      <c r="AY7" s="321">
        <f>$BE7*($BL$7)</f>
        <v>2220177338.5463438</v>
      </c>
      <c r="AZ7" s="68"/>
      <c r="BA7" s="1040">
        <f>SUM(W7:W10)</f>
        <v>777730430.58000004</v>
      </c>
      <c r="BB7" s="1034">
        <f>BA7*(1+Assum!C$42)</f>
        <v>1361028253.5150001</v>
      </c>
      <c r="BC7" s="1034">
        <f>BB7*(1+Assum!D$42)</f>
        <v>2041542380.2725</v>
      </c>
      <c r="BD7" s="1034">
        <f>BC7*(1+Assum!E$42)</f>
        <v>3062313570.4087501</v>
      </c>
      <c r="BE7" s="1034">
        <f>BD7*(1+Assum!F42)</f>
        <v>4440354677.0926876</v>
      </c>
      <c r="BG7" s="196" t="s">
        <v>294</v>
      </c>
      <c r="BH7" s="169">
        <f>W128</f>
        <v>0.95180373364503013</v>
      </c>
      <c r="BI7" s="169">
        <v>0.8</v>
      </c>
      <c r="BJ7" s="169">
        <v>0.7</v>
      </c>
      <c r="BK7" s="169">
        <v>0.6</v>
      </c>
      <c r="BL7" s="169">
        <v>0.5</v>
      </c>
    </row>
    <row r="8" spans="1:64">
      <c r="B8" s="303" t="s">
        <v>95</v>
      </c>
      <c r="C8" s="304" t="s">
        <v>293</v>
      </c>
      <c r="D8" s="68" t="s">
        <v>295</v>
      </c>
      <c r="E8" s="290">
        <v>14</v>
      </c>
      <c r="F8" s="157"/>
      <c r="G8" s="157"/>
      <c r="H8" s="157">
        <v>35</v>
      </c>
      <c r="I8" s="158">
        <f t="shared" si="0"/>
        <v>4169.6394285714277</v>
      </c>
      <c r="J8" s="321">
        <v>145937.37999999998</v>
      </c>
      <c r="K8" s="158">
        <v>11</v>
      </c>
      <c r="L8" s="158"/>
      <c r="M8" s="158"/>
      <c r="N8" s="158">
        <v>17</v>
      </c>
      <c r="O8" s="158">
        <f t="shared" si="1"/>
        <v>63434.697058823534</v>
      </c>
      <c r="P8" s="321">
        <v>1078389.8500000001</v>
      </c>
      <c r="Q8" s="158">
        <v>14</v>
      </c>
      <c r="R8" s="248">
        <f t="shared" ref="R8:R54" si="3">Q8-S8</f>
        <v>14</v>
      </c>
      <c r="S8" s="1024"/>
      <c r="T8" s="158"/>
      <c r="U8" s="158">
        <v>21</v>
      </c>
      <c r="V8" s="158">
        <f t="shared" si="2"/>
        <v>94112.994285714274</v>
      </c>
      <c r="W8" s="321">
        <v>1976372.88</v>
      </c>
      <c r="X8" s="248"/>
      <c r="Y8" s="248"/>
      <c r="Z8" s="248"/>
      <c r="AA8" s="68"/>
      <c r="AB8" s="68"/>
      <c r="AC8" s="68"/>
      <c r="AD8" s="321">
        <f>$BB$7*($BI$8)</f>
        <v>90735216.900999993</v>
      </c>
      <c r="AE8" s="248"/>
      <c r="AF8" s="248"/>
      <c r="AG8" s="248"/>
      <c r="AH8" s="68"/>
      <c r="AI8" s="68"/>
      <c r="AJ8" s="68"/>
      <c r="AK8" s="321">
        <f>$BC$7*($BJ$8)</f>
        <v>204154238.02725005</v>
      </c>
      <c r="AL8" s="248"/>
      <c r="AM8" s="248"/>
      <c r="AN8" s="248"/>
      <c r="AO8" s="68"/>
      <c r="AP8" s="68"/>
      <c r="AQ8" s="68"/>
      <c r="AR8" s="321">
        <f>$BD$7*($BK$8)</f>
        <v>408308476.05449998</v>
      </c>
      <c r="AS8" s="248"/>
      <c r="AT8" s="248"/>
      <c r="AU8" s="248"/>
      <c r="AV8" s="248"/>
      <c r="AW8" s="248"/>
      <c r="AX8" s="248"/>
      <c r="AY8" s="321">
        <f>$BE$7*($BL$8)</f>
        <v>740059112.84878123</v>
      </c>
      <c r="AZ8" s="68"/>
      <c r="BA8" s="1041"/>
      <c r="BB8" s="1035"/>
      <c r="BC8" s="1035"/>
      <c r="BD8" s="1035"/>
      <c r="BE8" s="1035"/>
      <c r="BG8" s="196" t="s">
        <v>295</v>
      </c>
      <c r="BH8" s="169">
        <f>W129</f>
        <v>8.2189050283051832E-3</v>
      </c>
      <c r="BI8" s="284">
        <f t="shared" ref="BI8:BK10" si="4">(100%-BI$7)/$BI$3</f>
        <v>6.6666666666666652E-2</v>
      </c>
      <c r="BJ8" s="284">
        <f t="shared" si="4"/>
        <v>0.10000000000000002</v>
      </c>
      <c r="BK8" s="284">
        <f t="shared" si="4"/>
        <v>0.13333333333333333</v>
      </c>
      <c r="BL8" s="284">
        <f>(100%-BL$7)/$BI$3</f>
        <v>0.16666666666666666</v>
      </c>
    </row>
    <row r="9" spans="1:64">
      <c r="B9" s="303" t="s">
        <v>95</v>
      </c>
      <c r="C9" s="304" t="s">
        <v>293</v>
      </c>
      <c r="D9" s="68" t="s">
        <v>296</v>
      </c>
      <c r="E9" s="290">
        <v>15</v>
      </c>
      <c r="F9" s="157"/>
      <c r="G9" s="157"/>
      <c r="H9" s="157">
        <v>89</v>
      </c>
      <c r="I9" s="158">
        <f t="shared" si="0"/>
        <v>6009.3159550561813</v>
      </c>
      <c r="J9" s="321">
        <v>534829.12000000011</v>
      </c>
      <c r="K9" s="158">
        <v>16</v>
      </c>
      <c r="L9" s="158"/>
      <c r="M9" s="158"/>
      <c r="N9" s="158">
        <v>55</v>
      </c>
      <c r="O9" s="158">
        <f t="shared" si="1"/>
        <v>42596.855636363631</v>
      </c>
      <c r="P9" s="321">
        <v>2342827.0599999996</v>
      </c>
      <c r="Q9" s="158">
        <v>45</v>
      </c>
      <c r="R9" s="248">
        <f t="shared" si="3"/>
        <v>45</v>
      </c>
      <c r="S9" s="1024"/>
      <c r="T9" s="158"/>
      <c r="U9" s="158">
        <v>190</v>
      </c>
      <c r="V9" s="158">
        <f t="shared" si="2"/>
        <v>34392.704421052629</v>
      </c>
      <c r="W9" s="321">
        <v>6534613.8399999999</v>
      </c>
      <c r="X9" s="248"/>
      <c r="Y9" s="248"/>
      <c r="Z9" s="248"/>
      <c r="AA9" s="68"/>
      <c r="AB9" s="68"/>
      <c r="AC9" s="68"/>
      <c r="AD9" s="321">
        <f>$BB$7*($BI$9)</f>
        <v>90735216.900999993</v>
      </c>
      <c r="AE9" s="248"/>
      <c r="AF9" s="248"/>
      <c r="AG9" s="248"/>
      <c r="AH9" s="68"/>
      <c r="AI9" s="68"/>
      <c r="AJ9" s="68"/>
      <c r="AK9" s="321">
        <f>$BC$7*($BJ$9)</f>
        <v>204154238.02725005</v>
      </c>
      <c r="AL9" s="248"/>
      <c r="AM9" s="248"/>
      <c r="AN9" s="248"/>
      <c r="AO9" s="68"/>
      <c r="AP9" s="68"/>
      <c r="AQ9" s="68"/>
      <c r="AR9" s="321">
        <f>$BD$7*($BK$9)</f>
        <v>408308476.05449998</v>
      </c>
      <c r="AS9" s="248"/>
      <c r="AT9" s="248"/>
      <c r="AU9" s="248"/>
      <c r="AV9" s="248"/>
      <c r="AW9" s="248"/>
      <c r="AX9" s="248"/>
      <c r="AY9" s="321">
        <f>$BE$7*($BL$9)</f>
        <v>740059112.84878123</v>
      </c>
      <c r="AZ9" s="68"/>
      <c r="BA9" s="1041"/>
      <c r="BB9" s="1035"/>
      <c r="BC9" s="1035"/>
      <c r="BD9" s="1035"/>
      <c r="BE9" s="1035"/>
      <c r="BG9" s="196" t="s">
        <v>296</v>
      </c>
      <c r="BH9" s="169">
        <f>W130</f>
        <v>2.3951530704315063E-2</v>
      </c>
      <c r="BI9" s="284">
        <f t="shared" si="4"/>
        <v>6.6666666666666652E-2</v>
      </c>
      <c r="BJ9" s="284">
        <f t="shared" si="4"/>
        <v>0.10000000000000002</v>
      </c>
      <c r="BK9" s="284">
        <f t="shared" si="4"/>
        <v>0.13333333333333333</v>
      </c>
      <c r="BL9" s="284">
        <f>(100%-BL$7)/$BI$3</f>
        <v>0.16666666666666666</v>
      </c>
    </row>
    <row r="10" spans="1:64">
      <c r="B10" s="305" t="s">
        <v>95</v>
      </c>
      <c r="C10" s="306" t="s">
        <v>293</v>
      </c>
      <c r="D10" s="307" t="s">
        <v>297</v>
      </c>
      <c r="E10" s="308">
        <v>100</v>
      </c>
      <c r="F10" s="309"/>
      <c r="G10" s="309"/>
      <c r="H10" s="309">
        <v>27503</v>
      </c>
      <c r="I10" s="310">
        <f t="shared" si="0"/>
        <v>171.12055739373889</v>
      </c>
      <c r="J10" s="322">
        <v>4706328.6900000004</v>
      </c>
      <c r="K10" s="310">
        <v>110</v>
      </c>
      <c r="L10" s="310"/>
      <c r="M10" s="310"/>
      <c r="N10" s="310">
        <v>14560</v>
      </c>
      <c r="O10" s="310">
        <f t="shared" si="1"/>
        <v>483.31773969780289</v>
      </c>
      <c r="P10" s="322">
        <v>7037106.2900000103</v>
      </c>
      <c r="Q10" s="310">
        <v>150</v>
      </c>
      <c r="R10" s="310">
        <f t="shared" si="3"/>
        <v>150</v>
      </c>
      <c r="S10" s="1025"/>
      <c r="T10" s="310"/>
      <c r="U10" s="310">
        <v>5770</v>
      </c>
      <c r="V10" s="310">
        <f t="shared" si="2"/>
        <v>1078.3571126516465</v>
      </c>
      <c r="W10" s="322">
        <v>6222120.54</v>
      </c>
      <c r="X10" s="310"/>
      <c r="Y10" s="310"/>
      <c r="Z10" s="310"/>
      <c r="AA10" s="307"/>
      <c r="AB10" s="307"/>
      <c r="AC10" s="307"/>
      <c r="AD10" s="322">
        <f>$BB$7*($BI$10)</f>
        <v>90735216.900999993</v>
      </c>
      <c r="AE10" s="310"/>
      <c r="AF10" s="310"/>
      <c r="AG10" s="310"/>
      <c r="AH10" s="307"/>
      <c r="AI10" s="307"/>
      <c r="AJ10" s="307"/>
      <c r="AK10" s="322">
        <f>$BC$7*($BJ$10)</f>
        <v>204154238.02725005</v>
      </c>
      <c r="AL10" s="310"/>
      <c r="AM10" s="310"/>
      <c r="AN10" s="310"/>
      <c r="AO10" s="307"/>
      <c r="AP10" s="307"/>
      <c r="AQ10" s="307"/>
      <c r="AR10" s="322">
        <f>$BD$7*($BK$10)</f>
        <v>408308476.05449998</v>
      </c>
      <c r="AS10" s="310"/>
      <c r="AT10" s="310"/>
      <c r="AU10" s="310"/>
      <c r="AV10" s="310"/>
      <c r="AW10" s="310"/>
      <c r="AX10" s="310"/>
      <c r="AY10" s="322">
        <f>$BE$7*($BL$10)</f>
        <v>740059112.84878123</v>
      </c>
      <c r="AZ10" s="68"/>
      <c r="BA10" s="1042"/>
      <c r="BB10" s="1036"/>
      <c r="BC10" s="1036"/>
      <c r="BD10" s="1036"/>
      <c r="BE10" s="1036"/>
      <c r="BG10" s="196" t="s">
        <v>297</v>
      </c>
      <c r="BH10" s="169">
        <f>W131</f>
        <v>1.6025830622349573E-2</v>
      </c>
      <c r="BI10" s="284">
        <f t="shared" si="4"/>
        <v>6.6666666666666652E-2</v>
      </c>
      <c r="BJ10" s="284">
        <f t="shared" si="4"/>
        <v>0.10000000000000002</v>
      </c>
      <c r="BK10" s="284">
        <f t="shared" si="4"/>
        <v>0.13333333333333333</v>
      </c>
      <c r="BL10" s="284">
        <f>(100%-BL$7)/$BI$3</f>
        <v>0.16666666666666666</v>
      </c>
    </row>
    <row r="11" spans="1:64" ht="13">
      <c r="B11" s="281" t="s">
        <v>95</v>
      </c>
      <c r="C11" s="282" t="s">
        <v>298</v>
      </c>
      <c r="D11" s="281" t="s">
        <v>294</v>
      </c>
      <c r="E11" s="291">
        <v>6</v>
      </c>
      <c r="F11" s="182"/>
      <c r="G11" s="182">
        <v>465010</v>
      </c>
      <c r="H11" s="182">
        <v>1195</v>
      </c>
      <c r="I11" s="183">
        <f t="shared" si="0"/>
        <v>9687.8369456066976</v>
      </c>
      <c r="J11" s="323">
        <v>11576965.150000004</v>
      </c>
      <c r="K11" s="183">
        <v>5</v>
      </c>
      <c r="L11" s="183"/>
      <c r="M11" s="183">
        <v>522455</v>
      </c>
      <c r="N11" s="183">
        <v>1006</v>
      </c>
      <c r="O11" s="183">
        <f t="shared" si="1"/>
        <v>14724.193419483103</v>
      </c>
      <c r="P11" s="323">
        <v>14812538.580000002</v>
      </c>
      <c r="Q11" s="183">
        <v>7</v>
      </c>
      <c r="R11" s="183">
        <f t="shared" si="3"/>
        <v>7</v>
      </c>
      <c r="S11" s="1026">
        <f>VLOOKUP($C11,Assum!$B$11:$G$22,2,FALSE)*HLOOKUP($B11,Assum!$C$9:$G$10,2,FALSE)*S$55</f>
        <v>0</v>
      </c>
      <c r="T11" s="183">
        <v>929080</v>
      </c>
      <c r="U11" s="183">
        <v>1785</v>
      </c>
      <c r="V11" s="183">
        <f t="shared" si="2"/>
        <v>9604.8728291316529</v>
      </c>
      <c r="W11" s="323">
        <v>17144698</v>
      </c>
      <c r="X11" s="183">
        <f>Y11+Z11</f>
        <v>26.112499999999994</v>
      </c>
      <c r="Y11" s="183">
        <f>SUM(R11:R14)+(Y$60*Assum!$C$38)</f>
        <v>25.762499999999992</v>
      </c>
      <c r="Z11" s="183">
        <f>S11+(Z$61*Assum!$C$28)</f>
        <v>0.34999999999999992</v>
      </c>
      <c r="AA11" s="281"/>
      <c r="AB11" s="281"/>
      <c r="AC11" s="281"/>
      <c r="AD11" s="323">
        <f>$BB11*($BI$7)</f>
        <v>24186088.652720004</v>
      </c>
      <c r="AE11" s="183">
        <f>AF11+AG11</f>
        <v>31.737499999999994</v>
      </c>
      <c r="AF11" s="183">
        <f>Y11+(AF$60*Assum!$D$38)</f>
        <v>31.012499999999992</v>
      </c>
      <c r="AG11" s="183">
        <f>Z11+(AG$61*Assum!$D$28)</f>
        <v>0.72499999999999987</v>
      </c>
      <c r="AH11" s="281"/>
      <c r="AI11" s="281"/>
      <c r="AJ11" s="281"/>
      <c r="AK11" s="323">
        <f>$BC11*($BJ$7)</f>
        <v>31744241.356695008</v>
      </c>
      <c r="AL11" s="183">
        <f>AM11+AN11</f>
        <v>37.937499999999993</v>
      </c>
      <c r="AM11" s="183">
        <f>AF11+(AM$60*Assum!$E$38)</f>
        <v>36.787499999999994</v>
      </c>
      <c r="AN11" s="183">
        <f>AG11+(AN$61*Assum!$E$28)</f>
        <v>1.1499999999999999</v>
      </c>
      <c r="AO11" s="281"/>
      <c r="AP11" s="281"/>
      <c r="AQ11" s="281"/>
      <c r="AR11" s="323">
        <f>$BD11*($BK$7)</f>
        <v>40814024.601465009</v>
      </c>
      <c r="AS11" s="183">
        <f>AT11+AU11</f>
        <v>44.749999999999993</v>
      </c>
      <c r="AT11" s="183">
        <f>AM11+(AT$60*Assum!$F$38)</f>
        <v>43.124999999999993</v>
      </c>
      <c r="AU11" s="183">
        <f>AN11+(AU$61*Assum!$E$28)</f>
        <v>1.6249999999999998</v>
      </c>
      <c r="AV11" s="183"/>
      <c r="AW11" s="183"/>
      <c r="AX11" s="183"/>
      <c r="AY11" s="323">
        <f>$BE11*($BL$7)</f>
        <v>49316946.393436886</v>
      </c>
      <c r="AZ11" s="68"/>
      <c r="BA11" s="1040">
        <f>SUM(W11:W14)</f>
        <v>18103359.770000003</v>
      </c>
      <c r="BB11" s="1037">
        <f>BA11*(1+Assum!C$43)</f>
        <v>30232610.815900005</v>
      </c>
      <c r="BC11" s="1037">
        <f>BB11*(1+Assum!D$43)</f>
        <v>45348916.223850012</v>
      </c>
      <c r="BD11" s="1037">
        <f>BC11*(1+Assum!E$43)</f>
        <v>68023374.335775018</v>
      </c>
      <c r="BE11" s="1037">
        <f>BD11*(1+Assum!F$43)</f>
        <v>98633892.786873773</v>
      </c>
      <c r="BG11" s="54" t="s">
        <v>299</v>
      </c>
      <c r="BH11" s="311">
        <f>SUM(BH7:BH10)</f>
        <v>0.99999999999999989</v>
      </c>
      <c r="BI11" s="311">
        <f>SUM(BI7:BI10)</f>
        <v>1</v>
      </c>
      <c r="BJ11" s="311">
        <f>SUM(BJ7:BJ10)</f>
        <v>0.99999999999999989</v>
      </c>
      <c r="BK11" s="311">
        <f>SUM(BK7:BK10)</f>
        <v>0.99999999999999989</v>
      </c>
      <c r="BL11" s="311">
        <f>SUM(BL7:BL10)</f>
        <v>0.99999999999999989</v>
      </c>
    </row>
    <row r="12" spans="1:64">
      <c r="B12" s="303" t="s">
        <v>95</v>
      </c>
      <c r="C12" s="312" t="s">
        <v>298</v>
      </c>
      <c r="D12" s="68" t="s">
        <v>295</v>
      </c>
      <c r="E12" s="290">
        <v>1</v>
      </c>
      <c r="F12" s="157"/>
      <c r="G12" s="157"/>
      <c r="H12" s="157">
        <v>4</v>
      </c>
      <c r="I12" s="158">
        <f t="shared" si="0"/>
        <v>2913.1350000000002</v>
      </c>
      <c r="J12" s="321">
        <v>11652.54</v>
      </c>
      <c r="K12" s="158">
        <v>2</v>
      </c>
      <c r="L12" s="158"/>
      <c r="M12" s="158"/>
      <c r="N12" s="158">
        <v>4</v>
      </c>
      <c r="O12" s="158">
        <f t="shared" si="1"/>
        <v>78792.375</v>
      </c>
      <c r="P12" s="321">
        <v>315169.5</v>
      </c>
      <c r="Q12" s="158">
        <v>2</v>
      </c>
      <c r="R12" s="248">
        <f t="shared" si="3"/>
        <v>2</v>
      </c>
      <c r="S12" s="1024"/>
      <c r="T12" s="158"/>
      <c r="U12" s="158">
        <v>22</v>
      </c>
      <c r="V12" s="158">
        <f t="shared" si="2"/>
        <v>5766.9818181818182</v>
      </c>
      <c r="W12" s="321">
        <v>126873.60000000001</v>
      </c>
      <c r="X12" s="248"/>
      <c r="Y12" s="248"/>
      <c r="Z12" s="248"/>
      <c r="AA12" s="68"/>
      <c r="AB12" s="68"/>
      <c r="AC12" s="68"/>
      <c r="AD12" s="321">
        <f>$BB11*($BI$8)</f>
        <v>2015507.3877266666</v>
      </c>
      <c r="AE12" s="248"/>
      <c r="AF12" s="248"/>
      <c r="AG12" s="248"/>
      <c r="AH12" s="68"/>
      <c r="AI12" s="68"/>
      <c r="AJ12" s="68"/>
      <c r="AK12" s="321">
        <f>$BC11*($BJ$8)</f>
        <v>4534891.6223850017</v>
      </c>
      <c r="AL12" s="248"/>
      <c r="AM12" s="248"/>
      <c r="AN12" s="248"/>
      <c r="AO12" s="68"/>
      <c r="AP12" s="68"/>
      <c r="AQ12" s="68"/>
      <c r="AR12" s="321">
        <f>$BD11*($BK$8)</f>
        <v>9069783.2447700016</v>
      </c>
      <c r="AS12" s="248"/>
      <c r="AT12" s="248"/>
      <c r="AU12" s="248"/>
      <c r="AV12" s="248"/>
      <c r="AW12" s="248"/>
      <c r="AX12" s="248"/>
      <c r="AY12" s="321">
        <f>$BE11*($BL$8)</f>
        <v>16438982.131145628</v>
      </c>
      <c r="AZ12" s="68"/>
      <c r="BA12" s="1041"/>
      <c r="BB12" s="1038"/>
      <c r="BC12" s="1038"/>
      <c r="BD12" s="1038"/>
      <c r="BE12" s="1038"/>
    </row>
    <row r="13" spans="1:64">
      <c r="B13" s="303" t="s">
        <v>95</v>
      </c>
      <c r="C13" s="312" t="s">
        <v>298</v>
      </c>
      <c r="D13" s="68" t="s">
        <v>296</v>
      </c>
      <c r="E13" s="290"/>
      <c r="F13" s="157"/>
      <c r="G13" s="157"/>
      <c r="H13" s="157"/>
      <c r="I13" s="157"/>
      <c r="J13" s="321">
        <v>0</v>
      </c>
      <c r="K13" s="158">
        <v>2</v>
      </c>
      <c r="L13" s="158"/>
      <c r="M13" s="158"/>
      <c r="N13" s="158">
        <v>11</v>
      </c>
      <c r="O13" s="158">
        <f t="shared" si="1"/>
        <v>34902.610909090909</v>
      </c>
      <c r="P13" s="321">
        <v>383928.72000000003</v>
      </c>
      <c r="Q13" s="158">
        <v>3</v>
      </c>
      <c r="R13" s="248">
        <f t="shared" si="3"/>
        <v>3</v>
      </c>
      <c r="S13" s="1024"/>
      <c r="T13" s="158"/>
      <c r="U13" s="158">
        <v>14</v>
      </c>
      <c r="V13" s="158">
        <f t="shared" si="2"/>
        <v>44692.857142857145</v>
      </c>
      <c r="W13" s="321">
        <v>625700</v>
      </c>
      <c r="X13" s="248"/>
      <c r="Y13" s="248"/>
      <c r="Z13" s="248"/>
      <c r="AA13" s="68"/>
      <c r="AB13" s="68"/>
      <c r="AC13" s="68"/>
      <c r="AD13" s="321">
        <f>$BB11*($BI$9)</f>
        <v>2015507.3877266666</v>
      </c>
      <c r="AE13" s="248"/>
      <c r="AF13" s="248"/>
      <c r="AG13" s="248"/>
      <c r="AH13" s="68"/>
      <c r="AI13" s="68"/>
      <c r="AJ13" s="68"/>
      <c r="AK13" s="321">
        <f>$BC11*($BJ$9)</f>
        <v>4534891.6223850017</v>
      </c>
      <c r="AL13" s="248"/>
      <c r="AM13" s="248"/>
      <c r="AN13" s="248"/>
      <c r="AO13" s="68"/>
      <c r="AP13" s="68"/>
      <c r="AQ13" s="68"/>
      <c r="AR13" s="321">
        <f>$BD11*($BK$9)</f>
        <v>9069783.2447700016</v>
      </c>
      <c r="AS13" s="248"/>
      <c r="AT13" s="248"/>
      <c r="AU13" s="248"/>
      <c r="AV13" s="248"/>
      <c r="AW13" s="248"/>
      <c r="AX13" s="248"/>
      <c r="AY13" s="321">
        <f>$BE11*($BL$9)</f>
        <v>16438982.131145628</v>
      </c>
      <c r="AZ13" s="68"/>
      <c r="BA13" s="1041"/>
      <c r="BB13" s="1038"/>
      <c r="BC13" s="1038"/>
      <c r="BD13" s="1038"/>
      <c r="BE13" s="1038"/>
    </row>
    <row r="14" spans="1:64">
      <c r="B14" s="305" t="s">
        <v>95</v>
      </c>
      <c r="C14" s="313" t="s">
        <v>298</v>
      </c>
      <c r="D14" s="307" t="s">
        <v>297</v>
      </c>
      <c r="E14" s="308">
        <v>7</v>
      </c>
      <c r="F14" s="309"/>
      <c r="G14" s="309"/>
      <c r="H14" s="309">
        <v>334</v>
      </c>
      <c r="I14" s="310">
        <f t="shared" ref="I14:I54" si="5">J14/H14</f>
        <v>333.33041916167656</v>
      </c>
      <c r="J14" s="322">
        <v>111332.35999999997</v>
      </c>
      <c r="K14" s="310">
        <v>13</v>
      </c>
      <c r="L14" s="310"/>
      <c r="M14" s="310"/>
      <c r="N14" s="310">
        <v>585</v>
      </c>
      <c r="O14" s="310">
        <f t="shared" si="1"/>
        <v>1678.3986324786317</v>
      </c>
      <c r="P14" s="322">
        <v>981863.1999999996</v>
      </c>
      <c r="Q14" s="310">
        <v>9</v>
      </c>
      <c r="R14" s="310">
        <f t="shared" si="3"/>
        <v>9</v>
      </c>
      <c r="S14" s="1025"/>
      <c r="T14" s="310"/>
      <c r="U14" s="310">
        <v>281</v>
      </c>
      <c r="V14" s="310">
        <f t="shared" si="2"/>
        <v>733.4098576512456</v>
      </c>
      <c r="W14" s="322">
        <v>206088.17</v>
      </c>
      <c r="X14" s="310"/>
      <c r="Y14" s="310"/>
      <c r="Z14" s="310"/>
      <c r="AA14" s="307"/>
      <c r="AB14" s="307"/>
      <c r="AC14" s="307"/>
      <c r="AD14" s="322">
        <f>$BB11*($BI$10)</f>
        <v>2015507.3877266666</v>
      </c>
      <c r="AE14" s="310"/>
      <c r="AF14" s="310"/>
      <c r="AG14" s="310"/>
      <c r="AH14" s="307"/>
      <c r="AI14" s="307"/>
      <c r="AJ14" s="307"/>
      <c r="AK14" s="322">
        <f>$BC11*($BJ$10)</f>
        <v>4534891.6223850017</v>
      </c>
      <c r="AL14" s="310"/>
      <c r="AM14" s="310"/>
      <c r="AN14" s="310"/>
      <c r="AO14" s="307"/>
      <c r="AP14" s="307"/>
      <c r="AQ14" s="307"/>
      <c r="AR14" s="322">
        <f>$BD11*($BK$10)</f>
        <v>9069783.2447700016</v>
      </c>
      <c r="AS14" s="310"/>
      <c r="AT14" s="310"/>
      <c r="AU14" s="310"/>
      <c r="AV14" s="310"/>
      <c r="AW14" s="310"/>
      <c r="AX14" s="310"/>
      <c r="AY14" s="322">
        <f>$BE11*($BL$10)</f>
        <v>16438982.131145628</v>
      </c>
      <c r="AZ14" s="68"/>
      <c r="BA14" s="1042"/>
      <c r="BB14" s="1039"/>
      <c r="BC14" s="1039"/>
      <c r="BD14" s="1039"/>
      <c r="BE14" s="1039"/>
    </row>
    <row r="15" spans="1:64">
      <c r="A15" s="161"/>
      <c r="B15" s="162" t="s">
        <v>95</v>
      </c>
      <c r="C15" s="161" t="s">
        <v>300</v>
      </c>
      <c r="D15" s="162" t="s">
        <v>294</v>
      </c>
      <c r="E15" s="292">
        <v>53</v>
      </c>
      <c r="F15" s="163"/>
      <c r="G15" s="163">
        <v>661920</v>
      </c>
      <c r="H15" s="163">
        <v>1644</v>
      </c>
      <c r="I15" s="164">
        <f t="shared" si="5"/>
        <v>11240.251569343067</v>
      </c>
      <c r="J15" s="321">
        <v>18478973.580000002</v>
      </c>
      <c r="K15" s="164">
        <v>38</v>
      </c>
      <c r="L15" s="164"/>
      <c r="M15" s="164">
        <v>724540</v>
      </c>
      <c r="N15" s="164">
        <v>1572</v>
      </c>
      <c r="O15" s="164">
        <f t="shared" si="1"/>
        <v>14317.022232824425</v>
      </c>
      <c r="P15" s="321">
        <v>22506358.949999996</v>
      </c>
      <c r="Q15" s="164">
        <v>57</v>
      </c>
      <c r="R15" s="164">
        <f t="shared" si="3"/>
        <v>57</v>
      </c>
      <c r="S15" s="1027">
        <f>VLOOKUP($C15,Assum!$B$11:$G$22,2,FALSE)*HLOOKUP($B15,Assum!$C$9:$G$10,2,FALSE)*S$55</f>
        <v>0</v>
      </c>
      <c r="T15" s="164">
        <v>1396960</v>
      </c>
      <c r="U15" s="164">
        <v>2648</v>
      </c>
      <c r="V15" s="164">
        <f t="shared" si="2"/>
        <v>10582.013119335348</v>
      </c>
      <c r="W15" s="321">
        <v>28021170.740000002</v>
      </c>
      <c r="X15" s="286">
        <f>Y15+Z15</f>
        <v>139.02499999999998</v>
      </c>
      <c r="Y15" s="286">
        <f>SUM(R15:R18)+(Y$60*Assum!$C$37)</f>
        <v>136.22499999999997</v>
      </c>
      <c r="Z15" s="286">
        <f>S15+(Z$61*Assum!$C$27)</f>
        <v>2.8000000000000003</v>
      </c>
      <c r="AA15" s="162"/>
      <c r="AB15" s="162"/>
      <c r="AC15" s="162"/>
      <c r="AD15" s="321">
        <f>$BB15*($BI$7)</f>
        <v>40983781.322000004</v>
      </c>
      <c r="AE15" s="286">
        <f>AF15+AG15</f>
        <v>166.52499999999998</v>
      </c>
      <c r="AF15" s="286">
        <f>Y15+(AF$60*Assum!$D$37)</f>
        <v>160.72499999999997</v>
      </c>
      <c r="AG15" s="286">
        <f>Z15+(AG$61*Assum!$D$27)</f>
        <v>5.8000000000000007</v>
      </c>
      <c r="AH15" s="162"/>
      <c r="AI15" s="162"/>
      <c r="AJ15" s="162"/>
      <c r="AK15" s="321">
        <f>$BC15*($BJ$7)</f>
        <v>50205132.119449995</v>
      </c>
      <c r="AL15" s="286">
        <f>AM15+AN15</f>
        <v>196.87499999999994</v>
      </c>
      <c r="AM15" s="286">
        <f>AF15+(AM$60*Assum!$E$37)</f>
        <v>187.67499999999995</v>
      </c>
      <c r="AN15" s="286">
        <f>AG15+(AN$61*Assum!$E$27)</f>
        <v>9.2000000000000011</v>
      </c>
      <c r="AO15" s="162"/>
      <c r="AP15" s="162"/>
      <c r="AQ15" s="162"/>
      <c r="AR15" s="321">
        <f>$BD15*($BK$7)</f>
        <v>60246158.54333999</v>
      </c>
      <c r="AS15" s="286">
        <f>AT15+AU15</f>
        <v>230.24999999999994</v>
      </c>
      <c r="AT15" s="286">
        <f>SUM(AM15:AM18)+(AT$60*Assum!$F$37)</f>
        <v>217.24999999999994</v>
      </c>
      <c r="AU15" s="286">
        <f>AN15+(AU$61*Assum!$E$27)</f>
        <v>13.000000000000002</v>
      </c>
      <c r="AV15" s="286"/>
      <c r="AW15" s="286"/>
      <c r="AX15" s="286"/>
      <c r="AY15" s="321">
        <f>$BE15*($BL$7)</f>
        <v>70287184.967229992</v>
      </c>
      <c r="AZ15" s="68"/>
      <c r="BA15" s="1040">
        <f>SUM(W15:W18)</f>
        <v>33051436.550000001</v>
      </c>
      <c r="BB15" s="1031">
        <f>BA15*(1+Assum!C44)</f>
        <v>51229726.652500004</v>
      </c>
      <c r="BC15" s="1031">
        <f>BB15*(1+Assum!D$44)</f>
        <v>71721617.313500002</v>
      </c>
      <c r="BD15" s="1031">
        <f>BC15*(1+Assum!E$44)</f>
        <v>100410264.23889999</v>
      </c>
      <c r="BE15" s="1031">
        <f>BD15*(1+Assum!F$44)</f>
        <v>140574369.93445998</v>
      </c>
    </row>
    <row r="16" spans="1:64">
      <c r="A16" s="161"/>
      <c r="B16" s="165" t="s">
        <v>95</v>
      </c>
      <c r="C16" s="170" t="s">
        <v>300</v>
      </c>
      <c r="D16" s="162" t="s">
        <v>295</v>
      </c>
      <c r="E16" s="292">
        <v>6</v>
      </c>
      <c r="F16" s="163"/>
      <c r="G16" s="163"/>
      <c r="H16" s="163">
        <v>7</v>
      </c>
      <c r="I16" s="164">
        <f t="shared" si="5"/>
        <v>5342.2985714285724</v>
      </c>
      <c r="J16" s="321">
        <v>37396.090000000004</v>
      </c>
      <c r="K16" s="164">
        <v>3</v>
      </c>
      <c r="L16" s="164"/>
      <c r="M16" s="164"/>
      <c r="N16" s="164">
        <v>6</v>
      </c>
      <c r="O16" s="164">
        <f t="shared" si="1"/>
        <v>58207.541666666664</v>
      </c>
      <c r="P16" s="321">
        <v>349245.25</v>
      </c>
      <c r="Q16" s="164">
        <v>9</v>
      </c>
      <c r="R16" s="164">
        <f t="shared" si="3"/>
        <v>9</v>
      </c>
      <c r="S16" s="1028"/>
      <c r="T16" s="164"/>
      <c r="U16" s="164">
        <v>19</v>
      </c>
      <c r="V16" s="164">
        <f t="shared" si="2"/>
        <v>84390.276842105261</v>
      </c>
      <c r="W16" s="321">
        <v>1603415.26</v>
      </c>
      <c r="X16" s="286"/>
      <c r="Y16" s="286"/>
      <c r="Z16" s="286"/>
      <c r="AA16" s="162"/>
      <c r="AB16" s="162"/>
      <c r="AC16" s="162"/>
      <c r="AD16" s="321">
        <f>$BB15*($BI$8)</f>
        <v>3415315.1101666661</v>
      </c>
      <c r="AE16" s="286"/>
      <c r="AF16" s="286"/>
      <c r="AG16" s="286"/>
      <c r="AH16" s="162"/>
      <c r="AI16" s="162"/>
      <c r="AJ16" s="162"/>
      <c r="AK16" s="321">
        <f>$BC15*($BJ$8)</f>
        <v>7172161.7313500019</v>
      </c>
      <c r="AL16" s="286"/>
      <c r="AM16" s="286"/>
      <c r="AN16" s="286"/>
      <c r="AO16" s="162"/>
      <c r="AP16" s="162"/>
      <c r="AQ16" s="162"/>
      <c r="AR16" s="321">
        <f>$BD15*($BK$8)</f>
        <v>13388035.231853332</v>
      </c>
      <c r="AS16" s="286"/>
      <c r="AT16" s="286"/>
      <c r="AU16" s="286"/>
      <c r="AV16" s="286"/>
      <c r="AW16" s="286"/>
      <c r="AX16" s="286"/>
      <c r="AY16" s="321">
        <f>$BE15*($BL$8)</f>
        <v>23429061.655743331</v>
      </c>
      <c r="AZ16" s="68"/>
      <c r="BA16" s="1041"/>
      <c r="BB16" s="1032"/>
      <c r="BC16" s="1032"/>
      <c r="BD16" s="1032"/>
      <c r="BE16" s="1032"/>
    </row>
    <row r="17" spans="1:57">
      <c r="A17" s="161"/>
      <c r="B17" s="165" t="s">
        <v>95</v>
      </c>
      <c r="C17" s="170" t="s">
        <v>300</v>
      </c>
      <c r="D17" s="162" t="s">
        <v>296</v>
      </c>
      <c r="E17" s="292">
        <v>8</v>
      </c>
      <c r="F17" s="163"/>
      <c r="G17" s="163"/>
      <c r="H17" s="163">
        <v>172</v>
      </c>
      <c r="I17" s="164">
        <f t="shared" si="5"/>
        <v>4692.9722093023265</v>
      </c>
      <c r="J17" s="321">
        <v>807191.2200000002</v>
      </c>
      <c r="K17" s="164">
        <v>12</v>
      </c>
      <c r="L17" s="164"/>
      <c r="M17" s="164"/>
      <c r="N17" s="164">
        <v>20</v>
      </c>
      <c r="O17" s="164">
        <f t="shared" si="1"/>
        <v>49094.361000000004</v>
      </c>
      <c r="P17" s="321">
        <v>981887.22000000009</v>
      </c>
      <c r="Q17" s="164">
        <v>19</v>
      </c>
      <c r="R17" s="164">
        <f t="shared" si="3"/>
        <v>19</v>
      </c>
      <c r="S17" s="1028"/>
      <c r="T17" s="164"/>
      <c r="U17" s="164">
        <v>79</v>
      </c>
      <c r="V17" s="164">
        <f t="shared" si="2"/>
        <v>32216.044556962024</v>
      </c>
      <c r="W17" s="321">
        <v>2545067.52</v>
      </c>
      <c r="X17" s="286"/>
      <c r="Y17" s="286"/>
      <c r="Z17" s="286"/>
      <c r="AA17" s="162"/>
      <c r="AB17" s="162"/>
      <c r="AC17" s="162"/>
      <c r="AD17" s="321">
        <f>$BB15*($BI$9)</f>
        <v>3415315.1101666661</v>
      </c>
      <c r="AE17" s="286"/>
      <c r="AF17" s="286"/>
      <c r="AG17" s="286"/>
      <c r="AH17" s="162"/>
      <c r="AI17" s="162"/>
      <c r="AJ17" s="162"/>
      <c r="AK17" s="321">
        <f>$BC15*($BJ$9)</f>
        <v>7172161.7313500019</v>
      </c>
      <c r="AL17" s="286"/>
      <c r="AM17" s="286"/>
      <c r="AN17" s="286"/>
      <c r="AO17" s="162"/>
      <c r="AP17" s="162"/>
      <c r="AQ17" s="162"/>
      <c r="AR17" s="321">
        <f>$BD15*($BK$9)</f>
        <v>13388035.231853332</v>
      </c>
      <c r="AS17" s="286"/>
      <c r="AT17" s="286"/>
      <c r="AU17" s="286"/>
      <c r="AV17" s="286"/>
      <c r="AW17" s="286"/>
      <c r="AX17" s="286"/>
      <c r="AY17" s="321">
        <f>$BE15*($BL$9)</f>
        <v>23429061.655743331</v>
      </c>
      <c r="AZ17" s="68"/>
      <c r="BA17" s="1041"/>
      <c r="BB17" s="1032"/>
      <c r="BC17" s="1032"/>
      <c r="BD17" s="1032"/>
      <c r="BE17" s="1032"/>
    </row>
    <row r="18" spans="1:57">
      <c r="A18" s="161"/>
      <c r="B18" s="184" t="s">
        <v>95</v>
      </c>
      <c r="C18" s="185" t="s">
        <v>300</v>
      </c>
      <c r="D18" s="186" t="s">
        <v>297</v>
      </c>
      <c r="E18" s="293">
        <v>68</v>
      </c>
      <c r="F18" s="187"/>
      <c r="G18" s="187"/>
      <c r="H18" s="187">
        <v>6492</v>
      </c>
      <c r="I18" s="188">
        <f t="shared" si="5"/>
        <v>256.07677295132493</v>
      </c>
      <c r="J18" s="322">
        <v>1662450.4100000015</v>
      </c>
      <c r="K18" s="188">
        <v>63</v>
      </c>
      <c r="L18" s="188"/>
      <c r="M18" s="188"/>
      <c r="N18" s="188">
        <v>6496</v>
      </c>
      <c r="O18" s="164">
        <f t="shared" si="1"/>
        <v>421.62650092364584</v>
      </c>
      <c r="P18" s="322">
        <v>2738885.7500000033</v>
      </c>
      <c r="Q18" s="188">
        <v>29</v>
      </c>
      <c r="R18" s="188">
        <f t="shared" si="3"/>
        <v>29</v>
      </c>
      <c r="S18" s="1029"/>
      <c r="T18" s="188"/>
      <c r="U18" s="188">
        <v>3972</v>
      </c>
      <c r="V18" s="188">
        <f t="shared" si="2"/>
        <v>221.99975579053344</v>
      </c>
      <c r="W18" s="322">
        <v>881783.02999999886</v>
      </c>
      <c r="X18" s="188"/>
      <c r="Y18" s="188"/>
      <c r="Z18" s="188"/>
      <c r="AA18" s="186"/>
      <c r="AB18" s="186"/>
      <c r="AC18" s="186"/>
      <c r="AD18" s="322">
        <f>$BB15*($BI$10)</f>
        <v>3415315.1101666661</v>
      </c>
      <c r="AE18" s="188"/>
      <c r="AF18" s="188"/>
      <c r="AG18" s="188"/>
      <c r="AH18" s="186"/>
      <c r="AI18" s="186"/>
      <c r="AJ18" s="186"/>
      <c r="AK18" s="322">
        <f>$BC15*($BJ$10)</f>
        <v>7172161.7313500019</v>
      </c>
      <c r="AL18" s="188"/>
      <c r="AM18" s="188"/>
      <c r="AN18" s="188"/>
      <c r="AO18" s="186"/>
      <c r="AP18" s="186"/>
      <c r="AQ18" s="186"/>
      <c r="AR18" s="322">
        <f>$BD15*($BK$10)</f>
        <v>13388035.231853332</v>
      </c>
      <c r="AS18" s="188"/>
      <c r="AT18" s="188"/>
      <c r="AU18" s="188"/>
      <c r="AV18" s="188"/>
      <c r="AW18" s="188"/>
      <c r="AX18" s="188"/>
      <c r="AY18" s="322">
        <f>$BE15*($BL$10)</f>
        <v>23429061.655743331</v>
      </c>
      <c r="AZ18" s="68"/>
      <c r="BA18" s="1042"/>
      <c r="BB18" s="1033"/>
      <c r="BC18" s="1033"/>
      <c r="BD18" s="1033"/>
      <c r="BE18" s="1033"/>
    </row>
    <row r="19" spans="1:57">
      <c r="B19" s="68" t="s">
        <v>301</v>
      </c>
      <c r="C19" s="149" t="s">
        <v>302</v>
      </c>
      <c r="D19" s="68" t="s">
        <v>294</v>
      </c>
      <c r="E19" s="290">
        <v>43</v>
      </c>
      <c r="F19" s="157"/>
      <c r="G19" s="157">
        <v>1034500</v>
      </c>
      <c r="H19" s="157">
        <v>2780</v>
      </c>
      <c r="I19" s="158">
        <f t="shared" si="5"/>
        <v>10302.955287769786</v>
      </c>
      <c r="J19" s="321">
        <v>28642215.700000003</v>
      </c>
      <c r="K19" s="158">
        <v>31</v>
      </c>
      <c r="L19" s="158"/>
      <c r="M19" s="158">
        <v>758625</v>
      </c>
      <c r="N19" s="158">
        <v>1619</v>
      </c>
      <c r="O19" s="158">
        <f t="shared" si="1"/>
        <v>14195.142186534898</v>
      </c>
      <c r="P19" s="321">
        <v>22981935.199999999</v>
      </c>
      <c r="Q19" s="158">
        <v>56</v>
      </c>
      <c r="R19" s="158">
        <f t="shared" si="3"/>
        <v>38.96</v>
      </c>
      <c r="S19" s="1026">
        <f>VLOOKUP($C19,Assum!$B$11:$G$22,3,FALSE)*HLOOKUP($B19,Assum!$C$9:$G$10,2,FALSE)*S$55</f>
        <v>17.04</v>
      </c>
      <c r="T19" s="158">
        <v>5114125</v>
      </c>
      <c r="U19" s="158">
        <v>9883</v>
      </c>
      <c r="V19" s="158">
        <f t="shared" si="2"/>
        <v>10013.149524435899</v>
      </c>
      <c r="W19" s="321">
        <v>98959956.75</v>
      </c>
      <c r="X19" s="248">
        <f>Y19+Z19</f>
        <v>117.1125</v>
      </c>
      <c r="Y19" s="248">
        <f>SUM(R19:R22)+(Y$60*Assum!$C$38)</f>
        <v>99.722499999999997</v>
      </c>
      <c r="Z19" s="248">
        <f>S19+(Z$61*Assum!$C$28)</f>
        <v>17.39</v>
      </c>
      <c r="AA19" s="68"/>
      <c r="AB19" s="68"/>
      <c r="AC19" s="68"/>
      <c r="AD19" s="321">
        <f>$BB19*($BI$7)</f>
        <v>312978398.8064</v>
      </c>
      <c r="AE19" s="248">
        <f>AF19+AG19</f>
        <v>122.7375</v>
      </c>
      <c r="AF19" s="248">
        <f>Y19+(AF$60*Assum!$D$38)</f>
        <v>104.9725</v>
      </c>
      <c r="AG19" s="248">
        <f>Z19+(AG$61*Assum!$D$28)</f>
        <v>17.765000000000001</v>
      </c>
      <c r="AH19" s="68"/>
      <c r="AI19" s="68"/>
      <c r="AJ19" s="68"/>
      <c r="AK19" s="321">
        <f>$BC19*($BJ$7)</f>
        <v>383398538.53784001</v>
      </c>
      <c r="AL19" s="248">
        <f>AM19+AN19</f>
        <v>128.9375</v>
      </c>
      <c r="AM19" s="248">
        <f>AF19+(AM$60*Assum!$E$38)</f>
        <v>110.7475</v>
      </c>
      <c r="AN19" s="248">
        <f>AG19+(AN$61*Assum!$E$28)</f>
        <v>18.190000000000001</v>
      </c>
      <c r="AO19" s="68"/>
      <c r="AP19" s="68"/>
      <c r="AQ19" s="68"/>
      <c r="AR19" s="321">
        <f>$BD19*($BK$7)</f>
        <v>460078246.245408</v>
      </c>
      <c r="AS19" s="248">
        <f>AT19+AU19</f>
        <v>135.75</v>
      </c>
      <c r="AT19" s="248">
        <f>AM19+(AT$60*Assum!$F$38)</f>
        <v>117.08500000000001</v>
      </c>
      <c r="AU19" s="248">
        <f>AN19+(AU$61*Assum!$E$28)</f>
        <v>18.665000000000003</v>
      </c>
      <c r="AV19" s="248"/>
      <c r="AW19" s="248"/>
      <c r="AX19" s="248"/>
      <c r="AY19" s="321">
        <f>$BE19*($BL$7)</f>
        <v>517588027.02608407</v>
      </c>
      <c r="AZ19" s="68"/>
      <c r="BA19" s="1040">
        <f>SUM(W19:W22)</f>
        <v>102953420.66000001</v>
      </c>
      <c r="BB19" s="1034">
        <f>BA19*(1+Assum!C$45)</f>
        <v>391222998.50800002</v>
      </c>
      <c r="BC19" s="1034">
        <f>BB19*(1+Assum!D$45)</f>
        <v>547712197.91120005</v>
      </c>
      <c r="BD19" s="1034">
        <f>BC19*(1+Assum!E$45)</f>
        <v>766797077.07568002</v>
      </c>
      <c r="BE19" s="1034">
        <f>BD19*(1+Assum!F$45)</f>
        <v>1035176054.0521681</v>
      </c>
    </row>
    <row r="20" spans="1:57">
      <c r="B20" s="303" t="s">
        <v>301</v>
      </c>
      <c r="C20" s="304" t="s">
        <v>302</v>
      </c>
      <c r="D20" s="68" t="s">
        <v>295</v>
      </c>
      <c r="E20" s="290">
        <v>9</v>
      </c>
      <c r="F20" s="157"/>
      <c r="G20" s="157"/>
      <c r="H20" s="157">
        <v>22</v>
      </c>
      <c r="I20" s="158">
        <f t="shared" si="5"/>
        <v>2850.5409090909097</v>
      </c>
      <c r="J20" s="321">
        <v>62711.900000000016</v>
      </c>
      <c r="K20" s="158">
        <v>3</v>
      </c>
      <c r="L20" s="158"/>
      <c r="M20" s="158"/>
      <c r="N20" s="158">
        <v>4</v>
      </c>
      <c r="O20" s="158">
        <f t="shared" si="1"/>
        <v>33854.7425</v>
      </c>
      <c r="P20" s="321">
        <v>135418.97</v>
      </c>
      <c r="Q20" s="158">
        <v>2</v>
      </c>
      <c r="R20" s="248">
        <f t="shared" si="3"/>
        <v>2</v>
      </c>
      <c r="S20" s="1024"/>
      <c r="T20" s="158"/>
      <c r="U20" s="158">
        <v>3</v>
      </c>
      <c r="V20" s="158">
        <f t="shared" si="2"/>
        <v>93514.123333333337</v>
      </c>
      <c r="W20" s="321">
        <v>280542.37</v>
      </c>
      <c r="X20" s="248"/>
      <c r="Y20" s="248"/>
      <c r="Z20" s="248"/>
      <c r="AA20" s="68"/>
      <c r="AB20" s="68"/>
      <c r="AC20" s="68"/>
      <c r="AD20" s="321">
        <f>$BB$19*($BI$8)</f>
        <v>26081533.233866662</v>
      </c>
      <c r="AE20" s="248"/>
      <c r="AF20" s="248"/>
      <c r="AG20" s="248"/>
      <c r="AH20" s="68"/>
      <c r="AI20" s="68"/>
      <c r="AJ20" s="68"/>
      <c r="AK20" s="321">
        <f>$BC$19*($BJ$8)</f>
        <v>54771219.791120015</v>
      </c>
      <c r="AL20" s="248"/>
      <c r="AM20" s="248"/>
      <c r="AN20" s="248"/>
      <c r="AO20" s="68"/>
      <c r="AP20" s="68"/>
      <c r="AQ20" s="68"/>
      <c r="AR20" s="321">
        <f>$BD$19*($BK$8)</f>
        <v>102239610.27675733</v>
      </c>
      <c r="AS20" s="248"/>
      <c r="AT20" s="248"/>
      <c r="AU20" s="248"/>
      <c r="AV20" s="248"/>
      <c r="AW20" s="248"/>
      <c r="AX20" s="248"/>
      <c r="AY20" s="321">
        <f>$BE$19*($BL$8)</f>
        <v>172529342.34202802</v>
      </c>
      <c r="AZ20" s="68"/>
      <c r="BA20" s="1041"/>
      <c r="BB20" s="1035"/>
      <c r="BC20" s="1035"/>
      <c r="BD20" s="1035"/>
      <c r="BE20" s="1035"/>
    </row>
    <row r="21" spans="1:57">
      <c r="B21" s="303" t="s">
        <v>301</v>
      </c>
      <c r="C21" s="304" t="s">
        <v>302</v>
      </c>
      <c r="D21" s="68" t="s">
        <v>296</v>
      </c>
      <c r="E21" s="290">
        <v>16</v>
      </c>
      <c r="F21" s="157"/>
      <c r="G21" s="157"/>
      <c r="H21" s="157">
        <v>330</v>
      </c>
      <c r="I21" s="158">
        <f t="shared" si="5"/>
        <v>5387.401636363632</v>
      </c>
      <c r="J21" s="321">
        <v>1777842.5399999984</v>
      </c>
      <c r="K21" s="158">
        <v>19</v>
      </c>
      <c r="L21" s="158"/>
      <c r="M21" s="158"/>
      <c r="N21" s="158">
        <v>74</v>
      </c>
      <c r="O21" s="158">
        <f t="shared" si="1"/>
        <v>18108.34121621622</v>
      </c>
      <c r="P21" s="321">
        <v>1340017.2500000002</v>
      </c>
      <c r="Q21" s="158">
        <v>12</v>
      </c>
      <c r="R21" s="248">
        <f t="shared" si="3"/>
        <v>12</v>
      </c>
      <c r="S21" s="1024"/>
      <c r="T21" s="158"/>
      <c r="U21" s="158">
        <v>120</v>
      </c>
      <c r="V21" s="158">
        <f t="shared" si="2"/>
        <v>28829.142583333338</v>
      </c>
      <c r="W21" s="321">
        <v>3459497.1100000003</v>
      </c>
      <c r="X21" s="248"/>
      <c r="Y21" s="248"/>
      <c r="Z21" s="248"/>
      <c r="AA21" s="68"/>
      <c r="AB21" s="68"/>
      <c r="AC21" s="68"/>
      <c r="AD21" s="321">
        <f>$BB$19*($BI$9)</f>
        <v>26081533.233866662</v>
      </c>
      <c r="AE21" s="248"/>
      <c r="AF21" s="248"/>
      <c r="AG21" s="248"/>
      <c r="AH21" s="68"/>
      <c r="AI21" s="68"/>
      <c r="AJ21" s="68"/>
      <c r="AK21" s="321">
        <f>$BC$19*($BJ$9)</f>
        <v>54771219.791120015</v>
      </c>
      <c r="AL21" s="248"/>
      <c r="AM21" s="248"/>
      <c r="AN21" s="248"/>
      <c r="AO21" s="68"/>
      <c r="AP21" s="68"/>
      <c r="AQ21" s="68"/>
      <c r="AR21" s="321">
        <f>$BD$19*($BK$9)</f>
        <v>102239610.27675733</v>
      </c>
      <c r="AS21" s="248"/>
      <c r="AT21" s="248"/>
      <c r="AU21" s="248"/>
      <c r="AV21" s="248"/>
      <c r="AW21" s="248"/>
      <c r="AX21" s="248"/>
      <c r="AY21" s="321">
        <f>$BE$19*($BL$9)</f>
        <v>172529342.34202802</v>
      </c>
      <c r="AZ21" s="68"/>
      <c r="BA21" s="1041"/>
      <c r="BB21" s="1035"/>
      <c r="BC21" s="1035"/>
      <c r="BD21" s="1035"/>
      <c r="BE21" s="1035"/>
    </row>
    <row r="22" spans="1:57">
      <c r="B22" s="305" t="s">
        <v>301</v>
      </c>
      <c r="C22" s="306" t="s">
        <v>302</v>
      </c>
      <c r="D22" s="307" t="s">
        <v>297</v>
      </c>
      <c r="E22" s="308">
        <v>67</v>
      </c>
      <c r="F22" s="309"/>
      <c r="G22" s="309"/>
      <c r="H22" s="309">
        <v>8663</v>
      </c>
      <c r="I22" s="310">
        <f t="shared" si="5"/>
        <v>244.1176774789335</v>
      </c>
      <c r="J22" s="322">
        <v>2114791.4400000009</v>
      </c>
      <c r="K22" s="310">
        <v>45</v>
      </c>
      <c r="L22" s="310"/>
      <c r="M22" s="310"/>
      <c r="N22" s="310">
        <v>2630</v>
      </c>
      <c r="O22" s="310">
        <f t="shared" si="1"/>
        <v>242.08104182509524</v>
      </c>
      <c r="P22" s="322">
        <v>636673.14000000048</v>
      </c>
      <c r="Q22" s="310">
        <v>42</v>
      </c>
      <c r="R22" s="310">
        <f t="shared" si="3"/>
        <v>42</v>
      </c>
      <c r="S22" s="1025"/>
      <c r="T22" s="310"/>
      <c r="U22" s="310">
        <v>1091</v>
      </c>
      <c r="V22" s="310">
        <f t="shared" si="2"/>
        <v>232.28637030247467</v>
      </c>
      <c r="W22" s="322">
        <v>253424.42999999985</v>
      </c>
      <c r="X22" s="310"/>
      <c r="Y22" s="310"/>
      <c r="Z22" s="310"/>
      <c r="AA22" s="307"/>
      <c r="AB22" s="307"/>
      <c r="AC22" s="307"/>
      <c r="AD22" s="322">
        <f>$BB$19*($BI$10)</f>
        <v>26081533.233866662</v>
      </c>
      <c r="AE22" s="310"/>
      <c r="AF22" s="310"/>
      <c r="AG22" s="310"/>
      <c r="AH22" s="307"/>
      <c r="AI22" s="307"/>
      <c r="AJ22" s="307"/>
      <c r="AK22" s="322">
        <f>$BC$19*($BJ$10)</f>
        <v>54771219.791120015</v>
      </c>
      <c r="AL22" s="310"/>
      <c r="AM22" s="310"/>
      <c r="AN22" s="310"/>
      <c r="AO22" s="307"/>
      <c r="AP22" s="307"/>
      <c r="AQ22" s="307"/>
      <c r="AR22" s="322">
        <f>$BD$19*($BK$10)</f>
        <v>102239610.27675733</v>
      </c>
      <c r="AS22" s="310"/>
      <c r="AT22" s="310"/>
      <c r="AU22" s="310"/>
      <c r="AV22" s="310"/>
      <c r="AW22" s="310"/>
      <c r="AX22" s="310"/>
      <c r="AY22" s="322">
        <f>$BE$19*($BL$10)</f>
        <v>172529342.34202802</v>
      </c>
      <c r="AZ22" s="68"/>
      <c r="BA22" s="1042"/>
      <c r="BB22" s="1036"/>
      <c r="BC22" s="1036"/>
      <c r="BD22" s="1036"/>
      <c r="BE22" s="1036"/>
    </row>
    <row r="23" spans="1:57">
      <c r="B23" s="281" t="s">
        <v>301</v>
      </c>
      <c r="C23" s="282" t="s">
        <v>303</v>
      </c>
      <c r="D23" s="281" t="s">
        <v>294</v>
      </c>
      <c r="E23" s="291">
        <v>14</v>
      </c>
      <c r="F23" s="182"/>
      <c r="G23" s="182">
        <v>403740</v>
      </c>
      <c r="H23" s="182">
        <v>993</v>
      </c>
      <c r="I23" s="183">
        <f t="shared" si="5"/>
        <v>11322.605891238669</v>
      </c>
      <c r="J23" s="323">
        <v>11243347.649999999</v>
      </c>
      <c r="K23" s="183">
        <v>9</v>
      </c>
      <c r="L23" s="183"/>
      <c r="M23" s="183">
        <v>72110</v>
      </c>
      <c r="N23" s="183">
        <v>200</v>
      </c>
      <c r="O23" s="183">
        <f t="shared" si="1"/>
        <v>11133.42375</v>
      </c>
      <c r="P23" s="323">
        <v>2226684.75</v>
      </c>
      <c r="Q23" s="183">
        <v>13</v>
      </c>
      <c r="R23" s="183">
        <f t="shared" si="3"/>
        <v>7.3199999999999985</v>
      </c>
      <c r="S23" s="1026">
        <f>VLOOKUP($C23,Assum!$B$11:$G$22,3,FALSE)*HLOOKUP($B23,Assum!$C$9:$G$10,2,FALSE)*S$55</f>
        <v>5.6800000000000015</v>
      </c>
      <c r="T23" s="183">
        <v>1059215</v>
      </c>
      <c r="U23" s="183">
        <v>1911</v>
      </c>
      <c r="V23" s="183">
        <f t="shared" si="2"/>
        <v>10802.012632129776</v>
      </c>
      <c r="W23" s="323">
        <v>20642646.140000001</v>
      </c>
      <c r="X23" s="183">
        <f>Y23+Z23</f>
        <v>46.112499999999997</v>
      </c>
      <c r="Y23" s="183">
        <f>SUM(R23:R26)+(Y$60*Assum!$C$38)</f>
        <v>40.082499999999996</v>
      </c>
      <c r="Z23" s="183">
        <f>S23+(Z$61*Assum!$C$28)</f>
        <v>6.0300000000000011</v>
      </c>
      <c r="AA23" s="281"/>
      <c r="AB23" s="281"/>
      <c r="AC23" s="281"/>
      <c r="AD23" s="323">
        <f>$BB23*($BI$7)</f>
        <v>51541510.617199995</v>
      </c>
      <c r="AE23" s="183">
        <f>AF23+AG23</f>
        <v>51.737499999999997</v>
      </c>
      <c r="AF23" s="183">
        <f>Y23+(AF$60*Assum!$D$38)</f>
        <v>45.332499999999996</v>
      </c>
      <c r="AG23" s="183">
        <f>Z23+(AG$61*Assum!$D$28)</f>
        <v>6.4050000000000011</v>
      </c>
      <c r="AH23" s="281"/>
      <c r="AI23" s="281"/>
      <c r="AJ23" s="281"/>
      <c r="AK23" s="323">
        <f>$BC23*($BJ$7)</f>
        <v>63138350.506069988</v>
      </c>
      <c r="AL23" s="183">
        <f>AM23+AN23</f>
        <v>57.937499999999993</v>
      </c>
      <c r="AM23" s="183">
        <f>AF23+(AM$60*Assum!$E$38)</f>
        <v>51.107499999999995</v>
      </c>
      <c r="AN23" s="183">
        <f>AG23+(AN$61*Assum!$E$28)</f>
        <v>6.830000000000001</v>
      </c>
      <c r="AO23" s="281"/>
      <c r="AP23" s="281"/>
      <c r="AQ23" s="281"/>
      <c r="AR23" s="323">
        <f>$BD23*($BK$7)</f>
        <v>75766020.60728398</v>
      </c>
      <c r="AS23" s="183">
        <f>AT23+AU23</f>
        <v>64.75</v>
      </c>
      <c r="AT23" s="183">
        <f>AM23+(AT$60*Assum!$F$38)</f>
        <v>57.444999999999993</v>
      </c>
      <c r="AU23" s="183">
        <f>AN23+(AU$61*Assum!$E$28)</f>
        <v>7.3050000000000006</v>
      </c>
      <c r="AV23" s="183"/>
      <c r="AW23" s="183"/>
      <c r="AX23" s="183"/>
      <c r="AY23" s="323">
        <f>$BE23*($BL$7)</f>
        <v>85236773.183194488</v>
      </c>
      <c r="AZ23" s="68"/>
      <c r="BA23" s="1040">
        <f>SUM(W23:W26)</f>
        <v>24312033.309999999</v>
      </c>
      <c r="BB23" s="1037">
        <f>BA23*(1+Assum!C$46)</f>
        <v>64426888.271499991</v>
      </c>
      <c r="BC23" s="1037">
        <f>BB23*(1+Assum!D$46)</f>
        <v>90197643.580099985</v>
      </c>
      <c r="BD23" s="1037">
        <f>BC23*(1+Assum!E$46)</f>
        <v>126276701.01213998</v>
      </c>
      <c r="BE23" s="1037">
        <f>BD23*(1+Assum!F$46)</f>
        <v>170473546.36638898</v>
      </c>
    </row>
    <row r="24" spans="1:57">
      <c r="B24" s="303" t="s">
        <v>301</v>
      </c>
      <c r="C24" s="312" t="s">
        <v>303</v>
      </c>
      <c r="D24" s="68" t="s">
        <v>295</v>
      </c>
      <c r="E24" s="290">
        <v>4</v>
      </c>
      <c r="F24" s="157"/>
      <c r="G24" s="157"/>
      <c r="H24" s="157">
        <v>10</v>
      </c>
      <c r="I24" s="158">
        <f t="shared" si="5"/>
        <v>2573.8619999999996</v>
      </c>
      <c r="J24" s="321">
        <v>25738.619999999995</v>
      </c>
      <c r="K24" s="158">
        <v>2</v>
      </c>
      <c r="L24" s="158"/>
      <c r="M24" s="158"/>
      <c r="N24" s="158">
        <v>6</v>
      </c>
      <c r="O24" s="158">
        <f t="shared" si="1"/>
        <v>10913.49</v>
      </c>
      <c r="P24" s="321">
        <v>65480.94</v>
      </c>
      <c r="Q24" s="158">
        <v>3</v>
      </c>
      <c r="R24" s="248">
        <f t="shared" si="3"/>
        <v>3</v>
      </c>
      <c r="S24" s="1024"/>
      <c r="T24" s="158"/>
      <c r="U24" s="158">
        <v>3</v>
      </c>
      <c r="V24" s="158">
        <f t="shared" si="2"/>
        <v>104084.74666666666</v>
      </c>
      <c r="W24" s="321">
        <v>312254.24</v>
      </c>
      <c r="X24" s="248"/>
      <c r="Y24" s="248"/>
      <c r="Z24" s="248"/>
      <c r="AA24" s="68"/>
      <c r="AB24" s="68"/>
      <c r="AC24" s="68"/>
      <c r="AD24" s="321">
        <f>$BB$23*($BI$8)</f>
        <v>4295125.8847666653</v>
      </c>
      <c r="AE24" s="248"/>
      <c r="AF24" s="248"/>
      <c r="AG24" s="248"/>
      <c r="AH24" s="68"/>
      <c r="AI24" s="68"/>
      <c r="AJ24" s="68"/>
      <c r="AK24" s="321">
        <f>$BC$23*($BJ$8)</f>
        <v>9019764.3580099996</v>
      </c>
      <c r="AL24" s="248"/>
      <c r="AM24" s="248"/>
      <c r="AN24" s="248"/>
      <c r="AO24" s="68"/>
      <c r="AP24" s="68"/>
      <c r="AQ24" s="68"/>
      <c r="AR24" s="321">
        <f>$BD$23*($BK$8)</f>
        <v>16836893.46828533</v>
      </c>
      <c r="AS24" s="248"/>
      <c r="AT24" s="248"/>
      <c r="AU24" s="248"/>
      <c r="AV24" s="248"/>
      <c r="AW24" s="248"/>
      <c r="AX24" s="248"/>
      <c r="AY24" s="321">
        <f>$BE$23*($BL$8)</f>
        <v>28412257.727731496</v>
      </c>
      <c r="AZ24" s="68"/>
      <c r="BA24" s="1041"/>
      <c r="BB24" s="1038"/>
      <c r="BC24" s="1038"/>
      <c r="BD24" s="1038"/>
      <c r="BE24" s="1038"/>
    </row>
    <row r="25" spans="1:57">
      <c r="B25" s="303" t="s">
        <v>301</v>
      </c>
      <c r="C25" s="312" t="s">
        <v>303</v>
      </c>
      <c r="D25" s="68" t="s">
        <v>296</v>
      </c>
      <c r="E25" s="290">
        <v>5</v>
      </c>
      <c r="F25" s="157"/>
      <c r="G25" s="157"/>
      <c r="H25" s="157">
        <v>14</v>
      </c>
      <c r="I25" s="157">
        <f t="shared" si="5"/>
        <v>8358.3521428571421</v>
      </c>
      <c r="J25" s="321">
        <v>117016.92999999998</v>
      </c>
      <c r="K25" s="158">
        <v>5</v>
      </c>
      <c r="L25" s="158"/>
      <c r="M25" s="158"/>
      <c r="N25" s="158">
        <v>39</v>
      </c>
      <c r="O25" s="158">
        <f t="shared" si="1"/>
        <v>14569.358974358971</v>
      </c>
      <c r="P25" s="321">
        <v>568204.99999999988</v>
      </c>
      <c r="Q25" s="158">
        <v>10</v>
      </c>
      <c r="R25" s="248">
        <f t="shared" si="3"/>
        <v>10</v>
      </c>
      <c r="S25" s="1024"/>
      <c r="T25" s="158"/>
      <c r="U25" s="158">
        <v>95</v>
      </c>
      <c r="V25" s="158">
        <f t="shared" si="2"/>
        <v>33246.345999999998</v>
      </c>
      <c r="W25" s="321">
        <v>3158402.87</v>
      </c>
      <c r="X25" s="248"/>
      <c r="Y25" s="248"/>
      <c r="Z25" s="248"/>
      <c r="AA25" s="68"/>
      <c r="AB25" s="68"/>
      <c r="AC25" s="68"/>
      <c r="AD25" s="321">
        <f>$BB$23*($BI$9)</f>
        <v>4295125.8847666653</v>
      </c>
      <c r="AE25" s="248"/>
      <c r="AF25" s="248"/>
      <c r="AG25" s="248"/>
      <c r="AH25" s="68"/>
      <c r="AI25" s="68"/>
      <c r="AJ25" s="68"/>
      <c r="AK25" s="321">
        <f>$BC$23*($BJ$9)</f>
        <v>9019764.3580099996</v>
      </c>
      <c r="AL25" s="248"/>
      <c r="AM25" s="248"/>
      <c r="AN25" s="248"/>
      <c r="AO25" s="68"/>
      <c r="AP25" s="68"/>
      <c r="AQ25" s="68"/>
      <c r="AR25" s="321">
        <f>$BD$23*($BK$9)</f>
        <v>16836893.46828533</v>
      </c>
      <c r="AS25" s="248"/>
      <c r="AT25" s="248"/>
      <c r="AU25" s="248"/>
      <c r="AV25" s="248"/>
      <c r="AW25" s="248"/>
      <c r="AX25" s="248"/>
      <c r="AY25" s="321">
        <f>$BE$23*($BL$9)</f>
        <v>28412257.727731496</v>
      </c>
      <c r="AZ25" s="68"/>
      <c r="BA25" s="1041"/>
      <c r="BB25" s="1038"/>
      <c r="BC25" s="1038"/>
      <c r="BD25" s="1038"/>
      <c r="BE25" s="1038"/>
    </row>
    <row r="26" spans="1:57">
      <c r="B26" s="305" t="s">
        <v>301</v>
      </c>
      <c r="C26" s="313" t="s">
        <v>303</v>
      </c>
      <c r="D26" s="307" t="s">
        <v>297</v>
      </c>
      <c r="E26" s="308">
        <v>29</v>
      </c>
      <c r="F26" s="309"/>
      <c r="G26" s="309"/>
      <c r="H26" s="309">
        <v>4894</v>
      </c>
      <c r="I26" s="310">
        <f t="shared" si="5"/>
        <v>344.2890539436047</v>
      </c>
      <c r="J26" s="322">
        <v>1684950.6300000015</v>
      </c>
      <c r="K26" s="310">
        <v>19</v>
      </c>
      <c r="L26" s="310"/>
      <c r="M26" s="310"/>
      <c r="N26" s="310">
        <v>97</v>
      </c>
      <c r="O26" s="310">
        <f t="shared" si="1"/>
        <v>1280.1873195876283</v>
      </c>
      <c r="P26" s="322">
        <v>124178.16999999994</v>
      </c>
      <c r="Q26" s="310">
        <v>15</v>
      </c>
      <c r="R26" s="310">
        <f t="shared" si="3"/>
        <v>15</v>
      </c>
      <c r="S26" s="1025"/>
      <c r="T26" s="310"/>
      <c r="U26" s="310">
        <v>417</v>
      </c>
      <c r="V26" s="310">
        <f t="shared" si="2"/>
        <v>476.5708872901676</v>
      </c>
      <c r="W26" s="322">
        <v>198730.05999999988</v>
      </c>
      <c r="X26" s="310"/>
      <c r="Y26" s="310"/>
      <c r="Z26" s="310"/>
      <c r="AA26" s="307"/>
      <c r="AB26" s="307"/>
      <c r="AC26" s="307"/>
      <c r="AD26" s="322">
        <f>$BB$23*($BI$10)</f>
        <v>4295125.8847666653</v>
      </c>
      <c r="AE26" s="310"/>
      <c r="AF26" s="310"/>
      <c r="AG26" s="310"/>
      <c r="AH26" s="307"/>
      <c r="AI26" s="307"/>
      <c r="AJ26" s="307"/>
      <c r="AK26" s="322">
        <f>$BC$23*($BJ$10)</f>
        <v>9019764.3580099996</v>
      </c>
      <c r="AL26" s="310"/>
      <c r="AM26" s="310"/>
      <c r="AN26" s="310"/>
      <c r="AO26" s="307"/>
      <c r="AP26" s="307"/>
      <c r="AQ26" s="307"/>
      <c r="AR26" s="322">
        <f>$BD$23*($BK$10)</f>
        <v>16836893.46828533</v>
      </c>
      <c r="AS26" s="310"/>
      <c r="AT26" s="310"/>
      <c r="AU26" s="310"/>
      <c r="AV26" s="310"/>
      <c r="AW26" s="310"/>
      <c r="AX26" s="310"/>
      <c r="AY26" s="322">
        <f>$BE$23*($BL$10)</f>
        <v>28412257.727731496</v>
      </c>
      <c r="AZ26" s="68"/>
      <c r="BA26" s="1042"/>
      <c r="BB26" s="1039"/>
      <c r="BC26" s="1039"/>
      <c r="BD26" s="1039"/>
      <c r="BE26" s="1039"/>
    </row>
    <row r="27" spans="1:57">
      <c r="A27" s="161"/>
      <c r="B27" s="162" t="s">
        <v>301</v>
      </c>
      <c r="C27" s="161" t="s">
        <v>304</v>
      </c>
      <c r="D27" s="162" t="s">
        <v>294</v>
      </c>
      <c r="E27" s="292">
        <v>54</v>
      </c>
      <c r="F27" s="163"/>
      <c r="G27" s="163">
        <v>977575</v>
      </c>
      <c r="H27" s="163">
        <v>2491</v>
      </c>
      <c r="I27" s="436">
        <f t="shared" si="5"/>
        <v>10846.962806101956</v>
      </c>
      <c r="J27" s="321">
        <v>27019784.349999972</v>
      </c>
      <c r="K27" s="164">
        <v>32</v>
      </c>
      <c r="L27" s="164"/>
      <c r="M27" s="164">
        <v>645905</v>
      </c>
      <c r="N27" s="164">
        <v>1445</v>
      </c>
      <c r="O27" s="436">
        <f t="shared" si="1"/>
        <v>13768.224020761241</v>
      </c>
      <c r="P27" s="321">
        <v>19895083.709999993</v>
      </c>
      <c r="Q27" s="164">
        <v>38</v>
      </c>
      <c r="R27" s="286">
        <f t="shared" si="3"/>
        <v>32.32</v>
      </c>
      <c r="S27" s="286">
        <f>VLOOKUP($C27,Assum!$B$11:$G$22,3,FALSE)*HLOOKUP($B27,Assum!$C$9:$G$10,2,FALSE)*S$55</f>
        <v>5.6800000000000015</v>
      </c>
      <c r="T27" s="164">
        <v>2096520</v>
      </c>
      <c r="U27" s="164">
        <v>3961</v>
      </c>
      <c r="V27" s="164">
        <f t="shared" si="2"/>
        <v>10916.683347639486</v>
      </c>
      <c r="W27" s="321">
        <v>43240982.740000002</v>
      </c>
      <c r="X27" s="286">
        <f>Y27+Z27</f>
        <v>116.02499999999996</v>
      </c>
      <c r="Y27" s="286">
        <f>SUM(R27:R30)+(Y$60*Assum!$C$37)</f>
        <v>107.54499999999996</v>
      </c>
      <c r="Z27" s="286">
        <f>S27+(Z$61*Assum!$C$27)</f>
        <v>8.4800000000000022</v>
      </c>
      <c r="AA27" s="162"/>
      <c r="AB27" s="162"/>
      <c r="AC27" s="162"/>
      <c r="AD27" s="321">
        <f>$BB27*($BI$7)</f>
        <v>56726709.746800005</v>
      </c>
      <c r="AE27" s="286">
        <f>AF27+AG27</f>
        <v>143.52499999999995</v>
      </c>
      <c r="AF27" s="286">
        <f>Y27+(AF$60*Assum!$D$37)</f>
        <v>132.04499999999996</v>
      </c>
      <c r="AG27" s="286">
        <f>Z27+(AG$61*Assum!$D$27)</f>
        <v>11.480000000000002</v>
      </c>
      <c r="AH27" s="162"/>
      <c r="AI27" s="162"/>
      <c r="AJ27" s="162"/>
      <c r="AK27" s="321">
        <f>$BC27*($BJ$7)</f>
        <v>74453806.542675003</v>
      </c>
      <c r="AL27" s="286">
        <f>AM27+AN27</f>
        <v>173.87499999999994</v>
      </c>
      <c r="AM27" s="286">
        <f>AF27+(AM$60*Assum!$E$37)</f>
        <v>158.99499999999995</v>
      </c>
      <c r="AN27" s="286">
        <f>AG27+(AN$61*Assum!$E$27)</f>
        <v>14.880000000000003</v>
      </c>
      <c r="AO27" s="162"/>
      <c r="AP27" s="162"/>
      <c r="AQ27" s="162"/>
      <c r="AR27" s="321">
        <f>$BD27*($BK$7)</f>
        <v>95726322.697725013</v>
      </c>
      <c r="AS27" s="286">
        <f>AT27+AU27</f>
        <v>207.24999999999994</v>
      </c>
      <c r="AT27" s="286">
        <f>SUM(AM27:AM30)+(AT$60*Assum!$F$37)</f>
        <v>188.56999999999994</v>
      </c>
      <c r="AU27" s="286">
        <f>AN27+(AU$61*Assum!$E$27)</f>
        <v>18.680000000000003</v>
      </c>
      <c r="AV27" s="286"/>
      <c r="AW27" s="286"/>
      <c r="AX27" s="286"/>
      <c r="AY27" s="321">
        <f>$BE27*($BL$7)</f>
        <v>119657903.37215626</v>
      </c>
      <c r="AZ27" s="68"/>
      <c r="BA27" s="1040">
        <f>SUM(W27:W30)</f>
        <v>45747346.57</v>
      </c>
      <c r="BB27" s="1031">
        <f>BA27*(1+Assum!C$47)</f>
        <v>70908387.183500007</v>
      </c>
      <c r="BC27" s="1031">
        <f>BB27*(1+Assum!D$47)</f>
        <v>106362580.77525002</v>
      </c>
      <c r="BD27" s="1031">
        <f>BC27*(1+Assum!E$47)</f>
        <v>159543871.16287503</v>
      </c>
      <c r="BE27" s="1031">
        <f>BD27*(1+Assum!F$47)</f>
        <v>239315806.74431252</v>
      </c>
    </row>
    <row r="28" spans="1:57">
      <c r="A28" s="161"/>
      <c r="B28" s="165" t="s">
        <v>301</v>
      </c>
      <c r="C28" s="170" t="s">
        <v>304</v>
      </c>
      <c r="D28" s="162" t="s">
        <v>295</v>
      </c>
      <c r="E28" s="292">
        <v>10</v>
      </c>
      <c r="F28" s="163"/>
      <c r="G28" s="163"/>
      <c r="H28" s="163">
        <v>28</v>
      </c>
      <c r="I28" s="164">
        <f t="shared" si="5"/>
        <v>3128.6017857142865</v>
      </c>
      <c r="J28" s="321">
        <v>87600.85000000002</v>
      </c>
      <c r="K28" s="164">
        <v>6</v>
      </c>
      <c r="L28" s="164"/>
      <c r="M28" s="164"/>
      <c r="N28" s="164">
        <v>12</v>
      </c>
      <c r="O28" s="164">
        <f t="shared" si="1"/>
        <v>6064.6183333333347</v>
      </c>
      <c r="P28" s="321">
        <v>72775.420000000013</v>
      </c>
      <c r="Q28" s="164">
        <v>1</v>
      </c>
      <c r="R28" s="286">
        <f t="shared" si="3"/>
        <v>1</v>
      </c>
      <c r="S28" s="286"/>
      <c r="T28" s="164"/>
      <c r="U28" s="164">
        <v>1</v>
      </c>
      <c r="V28" s="164">
        <f t="shared" si="2"/>
        <v>1588.98</v>
      </c>
      <c r="W28" s="321">
        <v>1588.98</v>
      </c>
      <c r="X28" s="286"/>
      <c r="Y28" s="286"/>
      <c r="Z28" s="286"/>
      <c r="AA28" s="162"/>
      <c r="AB28" s="162"/>
      <c r="AC28" s="162"/>
      <c r="AD28" s="321">
        <f>$BB27*($BI$8)</f>
        <v>4727225.8122333325</v>
      </c>
      <c r="AE28" s="286"/>
      <c r="AF28" s="286"/>
      <c r="AG28" s="286"/>
      <c r="AH28" s="162"/>
      <c r="AI28" s="162"/>
      <c r="AJ28" s="162"/>
      <c r="AK28" s="321">
        <f>$BC27*($BJ$8)</f>
        <v>10636258.077525005</v>
      </c>
      <c r="AL28" s="286"/>
      <c r="AM28" s="286"/>
      <c r="AN28" s="286"/>
      <c r="AO28" s="162"/>
      <c r="AP28" s="162"/>
      <c r="AQ28" s="162"/>
      <c r="AR28" s="321">
        <f>$BD27*($BK$8)</f>
        <v>21272516.155050002</v>
      </c>
      <c r="AS28" s="286"/>
      <c r="AT28" s="286"/>
      <c r="AU28" s="286"/>
      <c r="AV28" s="286"/>
      <c r="AW28" s="286"/>
      <c r="AX28" s="286"/>
      <c r="AY28" s="321">
        <f>$BE27*($BL$8)</f>
        <v>39885967.790718749</v>
      </c>
      <c r="AZ28" s="68"/>
      <c r="BA28" s="1041"/>
      <c r="BB28" s="1032"/>
      <c r="BC28" s="1032"/>
      <c r="BD28" s="1032"/>
      <c r="BE28" s="1032"/>
    </row>
    <row r="29" spans="1:57">
      <c r="A29" s="161"/>
      <c r="B29" s="165" t="s">
        <v>301</v>
      </c>
      <c r="C29" s="170" t="s">
        <v>304</v>
      </c>
      <c r="D29" s="162" t="s">
        <v>296</v>
      </c>
      <c r="E29" s="292">
        <v>14</v>
      </c>
      <c r="F29" s="163"/>
      <c r="G29" s="163"/>
      <c r="H29" s="163">
        <v>90</v>
      </c>
      <c r="I29" s="164">
        <f t="shared" si="5"/>
        <v>7437.5294444444444</v>
      </c>
      <c r="J29" s="321">
        <v>669377.65</v>
      </c>
      <c r="K29" s="164">
        <v>8</v>
      </c>
      <c r="L29" s="164"/>
      <c r="M29" s="164"/>
      <c r="N29" s="164">
        <v>24</v>
      </c>
      <c r="O29" s="164">
        <f t="shared" si="1"/>
        <v>42700.892500000009</v>
      </c>
      <c r="P29" s="321">
        <v>1024821.4200000002</v>
      </c>
      <c r="Q29" s="164">
        <v>15</v>
      </c>
      <c r="R29" s="286">
        <f t="shared" si="3"/>
        <v>15</v>
      </c>
      <c r="S29" s="286"/>
      <c r="T29" s="164"/>
      <c r="U29" s="164">
        <v>39</v>
      </c>
      <c r="V29" s="164">
        <f t="shared" si="2"/>
        <v>44590.141538461539</v>
      </c>
      <c r="W29" s="321">
        <v>1739015.52</v>
      </c>
      <c r="X29" s="286"/>
      <c r="Y29" s="286"/>
      <c r="Z29" s="286"/>
      <c r="AA29" s="162"/>
      <c r="AB29" s="162"/>
      <c r="AC29" s="162"/>
      <c r="AD29" s="321">
        <f>$BB27*($BI$9)</f>
        <v>4727225.8122333325</v>
      </c>
      <c r="AE29" s="286"/>
      <c r="AF29" s="286"/>
      <c r="AG29" s="286"/>
      <c r="AH29" s="162"/>
      <c r="AI29" s="162"/>
      <c r="AJ29" s="162"/>
      <c r="AK29" s="321">
        <f>$BC27*($BJ$9)</f>
        <v>10636258.077525005</v>
      </c>
      <c r="AL29" s="286"/>
      <c r="AM29" s="286"/>
      <c r="AN29" s="286"/>
      <c r="AO29" s="162"/>
      <c r="AP29" s="162"/>
      <c r="AQ29" s="162"/>
      <c r="AR29" s="321">
        <f>$BD27*($BK$9)</f>
        <v>21272516.155050002</v>
      </c>
      <c r="AS29" s="286"/>
      <c r="AT29" s="286"/>
      <c r="AU29" s="286"/>
      <c r="AV29" s="286"/>
      <c r="AW29" s="286"/>
      <c r="AX29" s="286"/>
      <c r="AY29" s="321">
        <f>$BE27*($BL$9)</f>
        <v>39885967.790718749</v>
      </c>
      <c r="AZ29" s="68"/>
      <c r="BA29" s="1041"/>
      <c r="BB29" s="1032"/>
      <c r="BC29" s="1032"/>
      <c r="BD29" s="1032"/>
      <c r="BE29" s="1032"/>
    </row>
    <row r="30" spans="1:57">
      <c r="A30" s="161"/>
      <c r="B30" s="184" t="s">
        <v>301</v>
      </c>
      <c r="C30" s="185" t="s">
        <v>304</v>
      </c>
      <c r="D30" s="186" t="s">
        <v>297</v>
      </c>
      <c r="E30" s="293">
        <v>67</v>
      </c>
      <c r="F30" s="187"/>
      <c r="G30" s="187"/>
      <c r="H30" s="187">
        <v>8869</v>
      </c>
      <c r="I30" s="188">
        <f t="shared" si="5"/>
        <v>282.78076784304881</v>
      </c>
      <c r="J30" s="322">
        <v>2507982.63</v>
      </c>
      <c r="K30" s="188">
        <v>51</v>
      </c>
      <c r="L30" s="188"/>
      <c r="M30" s="188"/>
      <c r="N30" s="188">
        <v>2018</v>
      </c>
      <c r="O30" s="188">
        <f t="shared" si="1"/>
        <v>531.46829038652106</v>
      </c>
      <c r="P30" s="322">
        <v>1072503.0099999995</v>
      </c>
      <c r="Q30" s="188">
        <v>37</v>
      </c>
      <c r="R30" s="188">
        <f t="shared" si="3"/>
        <v>37</v>
      </c>
      <c r="S30" s="188"/>
      <c r="T30" s="188"/>
      <c r="U30" s="188">
        <v>1782</v>
      </c>
      <c r="V30" s="188">
        <f t="shared" si="2"/>
        <v>429.71904040403984</v>
      </c>
      <c r="W30" s="322">
        <v>765759.32999999903</v>
      </c>
      <c r="X30" s="188"/>
      <c r="Y30" s="188"/>
      <c r="Z30" s="188"/>
      <c r="AA30" s="186"/>
      <c r="AB30" s="186"/>
      <c r="AC30" s="186"/>
      <c r="AD30" s="322">
        <f>$BB27*($BI$10)</f>
        <v>4727225.8122333325</v>
      </c>
      <c r="AE30" s="188"/>
      <c r="AF30" s="188"/>
      <c r="AG30" s="188"/>
      <c r="AH30" s="186"/>
      <c r="AI30" s="186"/>
      <c r="AJ30" s="186"/>
      <c r="AK30" s="322">
        <f>$BC27*($BJ$10)</f>
        <v>10636258.077525005</v>
      </c>
      <c r="AL30" s="188"/>
      <c r="AM30" s="188"/>
      <c r="AN30" s="188"/>
      <c r="AO30" s="186"/>
      <c r="AP30" s="186"/>
      <c r="AQ30" s="186"/>
      <c r="AR30" s="322">
        <f>$BD27*($BK$10)</f>
        <v>21272516.155050002</v>
      </c>
      <c r="AS30" s="188"/>
      <c r="AT30" s="188"/>
      <c r="AU30" s="188"/>
      <c r="AV30" s="188"/>
      <c r="AW30" s="188"/>
      <c r="AX30" s="188"/>
      <c r="AY30" s="322">
        <f>$BE27*($BL$10)</f>
        <v>39885967.790718749</v>
      </c>
      <c r="AZ30" s="68"/>
      <c r="BA30" s="1042"/>
      <c r="BB30" s="1033"/>
      <c r="BC30" s="1033"/>
      <c r="BD30" s="1033"/>
      <c r="BE30" s="1033"/>
    </row>
    <row r="31" spans="1:57">
      <c r="B31" s="68" t="s">
        <v>102</v>
      </c>
      <c r="C31" s="149" t="s">
        <v>305</v>
      </c>
      <c r="D31" s="68" t="s">
        <v>294</v>
      </c>
      <c r="E31" s="290">
        <v>43</v>
      </c>
      <c r="F31" s="157"/>
      <c r="G31" s="157">
        <v>1256995</v>
      </c>
      <c r="H31" s="157">
        <v>3922</v>
      </c>
      <c r="I31" s="158">
        <f t="shared" si="5"/>
        <v>9033.2721876593441</v>
      </c>
      <c r="J31" s="321">
        <v>35428493.519999951</v>
      </c>
      <c r="K31" s="158">
        <v>28</v>
      </c>
      <c r="L31" s="158"/>
      <c r="M31" s="158">
        <v>406085</v>
      </c>
      <c r="N31" s="158">
        <v>1279</v>
      </c>
      <c r="O31" s="158">
        <f t="shared" si="1"/>
        <v>10140.573268178267</v>
      </c>
      <c r="P31" s="321">
        <v>12969793.210000003</v>
      </c>
      <c r="Q31" s="158">
        <v>65</v>
      </c>
      <c r="R31" s="158">
        <f t="shared" si="3"/>
        <v>47.96</v>
      </c>
      <c r="S31" s="1026">
        <f>VLOOKUP($C31,Assum!$B$11:$G$22,4,FALSE)*HLOOKUP($B31,Assum!$C$9:$G$10,2,FALSE)*S$55</f>
        <v>17.04</v>
      </c>
      <c r="T31" s="158">
        <v>3439105</v>
      </c>
      <c r="U31" s="158">
        <v>6808</v>
      </c>
      <c r="V31" s="158">
        <f t="shared" si="2"/>
        <v>9909.5000587544055</v>
      </c>
      <c r="W31" s="321">
        <v>67463876.399999991</v>
      </c>
      <c r="X31" s="248">
        <f>Y31+Z31</f>
        <v>128.11250000000001</v>
      </c>
      <c r="Y31" s="248">
        <f>SUM(R31:R34)+(Y$60*Assum!$C$38)</f>
        <v>110.7225</v>
      </c>
      <c r="Z31" s="248">
        <f>S31+(Z$61*Assum!$C$28)</f>
        <v>17.39</v>
      </c>
      <c r="AA31" s="68"/>
      <c r="AB31" s="68"/>
      <c r="AC31" s="68"/>
      <c r="AD31" s="321">
        <f>$BB31*($BI$7)</f>
        <v>238323767.32479998</v>
      </c>
      <c r="AE31" s="248">
        <f>AF31+AG31</f>
        <v>133.73750000000001</v>
      </c>
      <c r="AF31" s="248">
        <f>Y31+(AF$60*Assum!$D$38)</f>
        <v>115.9725</v>
      </c>
      <c r="AG31" s="248">
        <f>Z31+(AG$61*Assum!$D$28)</f>
        <v>17.765000000000001</v>
      </c>
      <c r="AH31" s="68"/>
      <c r="AI31" s="68"/>
      <c r="AJ31" s="68"/>
      <c r="AK31" s="321">
        <f>$BC31*($BJ$7)</f>
        <v>291946614.97287989</v>
      </c>
      <c r="AL31" s="248">
        <f>AM31+AN31</f>
        <v>139.9375</v>
      </c>
      <c r="AM31" s="248">
        <f>AF31+(AM$60*Assum!$E$38)</f>
        <v>121.7475</v>
      </c>
      <c r="AN31" s="248">
        <f>AG31+(AN$61*Assum!$E$28)</f>
        <v>18.190000000000001</v>
      </c>
      <c r="AO31" s="68"/>
      <c r="AP31" s="68"/>
      <c r="AQ31" s="68"/>
      <c r="AR31" s="321">
        <f>$BD31*($BK$7)</f>
        <v>350335937.96745586</v>
      </c>
      <c r="AS31" s="248">
        <f>AT31+AU31</f>
        <v>146.75</v>
      </c>
      <c r="AT31" s="248">
        <f>AM31+(AT$60*Assum!$F$38)</f>
        <v>128.08500000000001</v>
      </c>
      <c r="AU31" s="248">
        <f>AN31+(AU$61*Assum!$E$28)</f>
        <v>18.665000000000003</v>
      </c>
      <c r="AV31" s="248"/>
      <c r="AW31" s="248"/>
      <c r="AX31" s="248"/>
      <c r="AY31" s="321">
        <f>$BE31*($BL$7)</f>
        <v>394127930.21338785</v>
      </c>
      <c r="AZ31" s="68"/>
      <c r="BA31" s="1040">
        <f>SUM(W31:W34)</f>
        <v>69280164.919999987</v>
      </c>
      <c r="BB31" s="1034">
        <f>BA31*(1+Assum!C$48)</f>
        <v>297904709.15599996</v>
      </c>
      <c r="BC31" s="1034">
        <f>BB31*(1+Assum!D$48)</f>
        <v>417066592.81839991</v>
      </c>
      <c r="BD31" s="1034">
        <f>BC31*(1+Assum!E$48)</f>
        <v>583893229.94575977</v>
      </c>
      <c r="BE31" s="1034">
        <f>BD31*(1+Assum!F$48)</f>
        <v>788255860.42677569</v>
      </c>
    </row>
    <row r="32" spans="1:57">
      <c r="B32" s="303" t="s">
        <v>102</v>
      </c>
      <c r="C32" s="304" t="s">
        <v>305</v>
      </c>
      <c r="D32" s="68" t="s">
        <v>295</v>
      </c>
      <c r="E32" s="290">
        <v>12</v>
      </c>
      <c r="F32" s="157"/>
      <c r="G32" s="157"/>
      <c r="H32" s="157">
        <v>39</v>
      </c>
      <c r="I32" s="158">
        <f t="shared" si="5"/>
        <v>5222.7297435897444</v>
      </c>
      <c r="J32" s="321">
        <v>203686.46000000002</v>
      </c>
      <c r="K32" s="158">
        <v>6</v>
      </c>
      <c r="L32" s="158"/>
      <c r="M32" s="158"/>
      <c r="N32" s="158">
        <v>12</v>
      </c>
      <c r="O32" s="158">
        <f t="shared" si="1"/>
        <v>20391.950833333336</v>
      </c>
      <c r="P32" s="321">
        <v>244703.41000000003</v>
      </c>
      <c r="Q32" s="158"/>
      <c r="R32" s="248">
        <f t="shared" si="3"/>
        <v>0</v>
      </c>
      <c r="S32" s="1024"/>
      <c r="T32" s="158"/>
      <c r="U32" s="158"/>
      <c r="V32" s="158"/>
      <c r="W32" s="321">
        <v>0</v>
      </c>
      <c r="X32" s="248"/>
      <c r="Y32" s="248"/>
      <c r="Z32" s="248"/>
      <c r="AA32" s="68"/>
      <c r="AB32" s="68"/>
      <c r="AC32" s="68"/>
      <c r="AD32" s="321">
        <f>$BB$31*($BI$8)</f>
        <v>19860313.943733327</v>
      </c>
      <c r="AE32" s="248"/>
      <c r="AF32" s="248"/>
      <c r="AG32" s="248"/>
      <c r="AH32" s="68"/>
      <c r="AI32" s="68"/>
      <c r="AJ32" s="68"/>
      <c r="AK32" s="321">
        <f>$BC$31*($BJ$8)</f>
        <v>41706659.281839997</v>
      </c>
      <c r="AL32" s="248"/>
      <c r="AM32" s="248"/>
      <c r="AN32" s="248"/>
      <c r="AO32" s="68"/>
      <c r="AP32" s="68"/>
      <c r="AQ32" s="68"/>
      <c r="AR32" s="321">
        <f>$BD$31*($BK$8)</f>
        <v>77852430.659434631</v>
      </c>
      <c r="AS32" s="248"/>
      <c r="AT32" s="248"/>
      <c r="AU32" s="248"/>
      <c r="AV32" s="248"/>
      <c r="AW32" s="248"/>
      <c r="AX32" s="248"/>
      <c r="AY32" s="321">
        <f>$BE$31*($BL$8)</f>
        <v>131375976.73779595</v>
      </c>
      <c r="AZ32" s="68"/>
      <c r="BA32" s="1041"/>
      <c r="BB32" s="1035"/>
      <c r="BC32" s="1035"/>
      <c r="BD32" s="1035"/>
      <c r="BE32" s="1035"/>
    </row>
    <row r="33" spans="1:57">
      <c r="B33" s="303" t="s">
        <v>102</v>
      </c>
      <c r="C33" s="304" t="s">
        <v>305</v>
      </c>
      <c r="D33" s="68" t="s">
        <v>296</v>
      </c>
      <c r="E33" s="290">
        <v>10</v>
      </c>
      <c r="F33" s="157"/>
      <c r="G33" s="157"/>
      <c r="H33" s="157">
        <v>55</v>
      </c>
      <c r="I33" s="158">
        <f t="shared" si="5"/>
        <v>6421.0127272727268</v>
      </c>
      <c r="J33" s="321">
        <v>353155.69999999995</v>
      </c>
      <c r="K33" s="158">
        <v>10</v>
      </c>
      <c r="L33" s="158"/>
      <c r="M33" s="158"/>
      <c r="N33" s="158">
        <v>21</v>
      </c>
      <c r="O33" s="158">
        <f t="shared" si="1"/>
        <v>24324.086666666666</v>
      </c>
      <c r="P33" s="321">
        <v>510805.82</v>
      </c>
      <c r="Q33" s="158">
        <v>12</v>
      </c>
      <c r="R33" s="248">
        <f t="shared" si="3"/>
        <v>12</v>
      </c>
      <c r="S33" s="1024"/>
      <c r="T33" s="158"/>
      <c r="U33" s="158">
        <v>39</v>
      </c>
      <c r="V33" s="158">
        <f t="shared" ref="V33:V54" si="6">W33/U33</f>
        <v>33986.442307692305</v>
      </c>
      <c r="W33" s="321">
        <v>1325471.2499999998</v>
      </c>
      <c r="X33" s="248"/>
      <c r="Y33" s="248"/>
      <c r="Z33" s="248"/>
      <c r="AA33" s="68"/>
      <c r="AB33" s="68"/>
      <c r="AC33" s="68"/>
      <c r="AD33" s="321">
        <f>$BB$31*($BI$9)</f>
        <v>19860313.943733327</v>
      </c>
      <c r="AE33" s="248"/>
      <c r="AF33" s="248"/>
      <c r="AG33" s="248"/>
      <c r="AH33" s="68"/>
      <c r="AI33" s="68"/>
      <c r="AJ33" s="68"/>
      <c r="AK33" s="321">
        <f>$BC$31*($BJ$9)</f>
        <v>41706659.281839997</v>
      </c>
      <c r="AL33" s="248"/>
      <c r="AM33" s="248"/>
      <c r="AN33" s="248"/>
      <c r="AO33" s="68"/>
      <c r="AP33" s="68"/>
      <c r="AQ33" s="68"/>
      <c r="AR33" s="321">
        <f>$BD$31*($BK$9)</f>
        <v>77852430.659434631</v>
      </c>
      <c r="AS33" s="248"/>
      <c r="AT33" s="248"/>
      <c r="AU33" s="248"/>
      <c r="AV33" s="248"/>
      <c r="AW33" s="248"/>
      <c r="AX33" s="248"/>
      <c r="AY33" s="321">
        <f>$BE$31*($BL$9)</f>
        <v>131375976.73779595</v>
      </c>
      <c r="AZ33" s="68"/>
      <c r="BA33" s="1041"/>
      <c r="BB33" s="1035"/>
      <c r="BC33" s="1035"/>
      <c r="BD33" s="1035"/>
      <c r="BE33" s="1035"/>
    </row>
    <row r="34" spans="1:57">
      <c r="B34" s="305" t="s">
        <v>102</v>
      </c>
      <c r="C34" s="306" t="s">
        <v>305</v>
      </c>
      <c r="D34" s="307" t="s">
        <v>297</v>
      </c>
      <c r="E34" s="308">
        <v>53</v>
      </c>
      <c r="F34" s="309"/>
      <c r="G34" s="309"/>
      <c r="H34" s="309">
        <v>13621</v>
      </c>
      <c r="I34" s="310">
        <f t="shared" si="5"/>
        <v>164.39070112326604</v>
      </c>
      <c r="J34" s="322">
        <v>2239165.7400000067</v>
      </c>
      <c r="K34" s="310">
        <v>31</v>
      </c>
      <c r="L34" s="310"/>
      <c r="M34" s="310"/>
      <c r="N34" s="310">
        <v>3249</v>
      </c>
      <c r="O34" s="310">
        <f t="shared" si="1"/>
        <v>307.72397660818712</v>
      </c>
      <c r="P34" s="322">
        <v>999795.19999999995</v>
      </c>
      <c r="Q34" s="310">
        <v>46</v>
      </c>
      <c r="R34" s="310">
        <f t="shared" si="3"/>
        <v>46</v>
      </c>
      <c r="S34" s="1025"/>
      <c r="T34" s="310"/>
      <c r="U34" s="310">
        <v>1017</v>
      </c>
      <c r="V34" s="310">
        <f t="shared" si="6"/>
        <v>482.61285152409079</v>
      </c>
      <c r="W34" s="322">
        <v>490817.27000000031</v>
      </c>
      <c r="X34" s="310"/>
      <c r="Y34" s="310"/>
      <c r="Z34" s="310"/>
      <c r="AA34" s="307"/>
      <c r="AB34" s="307"/>
      <c r="AC34" s="307"/>
      <c r="AD34" s="322">
        <f>$BB$31*($BI$10)</f>
        <v>19860313.943733327</v>
      </c>
      <c r="AE34" s="310"/>
      <c r="AF34" s="310"/>
      <c r="AG34" s="310"/>
      <c r="AH34" s="307"/>
      <c r="AI34" s="307"/>
      <c r="AJ34" s="307"/>
      <c r="AK34" s="322">
        <f>$BC$31*($BJ$10)</f>
        <v>41706659.281839997</v>
      </c>
      <c r="AL34" s="310"/>
      <c r="AM34" s="310"/>
      <c r="AN34" s="310"/>
      <c r="AO34" s="307"/>
      <c r="AP34" s="307"/>
      <c r="AQ34" s="307"/>
      <c r="AR34" s="322">
        <f>$BD$31*($BK$10)</f>
        <v>77852430.659434631</v>
      </c>
      <c r="AS34" s="310"/>
      <c r="AT34" s="310"/>
      <c r="AU34" s="310"/>
      <c r="AV34" s="310"/>
      <c r="AW34" s="310"/>
      <c r="AX34" s="310"/>
      <c r="AY34" s="322">
        <f>$BE$31*($BL$10)</f>
        <v>131375976.73779595</v>
      </c>
      <c r="AZ34" s="68"/>
      <c r="BA34" s="1042"/>
      <c r="BB34" s="1036"/>
      <c r="BC34" s="1036"/>
      <c r="BD34" s="1036"/>
      <c r="BE34" s="1036"/>
    </row>
    <row r="35" spans="1:57">
      <c r="B35" s="281" t="s">
        <v>102</v>
      </c>
      <c r="C35" s="282" t="s">
        <v>105</v>
      </c>
      <c r="D35" s="281" t="s">
        <v>294</v>
      </c>
      <c r="E35" s="291">
        <v>20</v>
      </c>
      <c r="F35" s="182"/>
      <c r="G35" s="182">
        <v>518300</v>
      </c>
      <c r="H35" s="182">
        <v>1222</v>
      </c>
      <c r="I35" s="183">
        <f t="shared" si="5"/>
        <v>11528.268445171849</v>
      </c>
      <c r="J35" s="323">
        <v>14087544.039999999</v>
      </c>
      <c r="K35" s="183">
        <v>11</v>
      </c>
      <c r="L35" s="183"/>
      <c r="M35" s="183">
        <v>116005</v>
      </c>
      <c r="N35" s="183">
        <v>292</v>
      </c>
      <c r="O35" s="183">
        <f t="shared" si="1"/>
        <v>12620.789999999999</v>
      </c>
      <c r="P35" s="323">
        <v>3685270.6799999997</v>
      </c>
      <c r="Q35" s="183">
        <v>26</v>
      </c>
      <c r="R35" s="183">
        <f t="shared" si="3"/>
        <v>20.32</v>
      </c>
      <c r="S35" s="1026">
        <f>VLOOKUP($C35,Assum!$B$11:$G$22,4,FALSE)*HLOOKUP($B35,Assum!$C$9:$G$10,2,FALSE)*S$55</f>
        <v>5.6800000000000015</v>
      </c>
      <c r="T35" s="183">
        <v>3036455</v>
      </c>
      <c r="U35" s="183">
        <v>5632</v>
      </c>
      <c r="V35" s="183">
        <f t="shared" si="6"/>
        <v>10782.106399147728</v>
      </c>
      <c r="W35" s="323">
        <v>60724823.240000002</v>
      </c>
      <c r="X35" s="183">
        <f>Y35+Z35</f>
        <v>52.112499999999997</v>
      </c>
      <c r="Y35" s="183">
        <f>SUM(R35:R38)+(Y$60*Assum!$C$38)</f>
        <v>46.082499999999996</v>
      </c>
      <c r="Z35" s="183">
        <f>S35+(Z$61*Assum!$C$28)</f>
        <v>6.0300000000000011</v>
      </c>
      <c r="AA35" s="281"/>
      <c r="AB35" s="281"/>
      <c r="AC35" s="281"/>
      <c r="AD35" s="323">
        <f>$BB35*($BI$7)</f>
        <v>100374365.90400001</v>
      </c>
      <c r="AE35" s="183">
        <f>AF35+AG35</f>
        <v>57.737499999999997</v>
      </c>
      <c r="AF35" s="183">
        <f>Y35+(AF$60*Assum!$D$38)</f>
        <v>51.332499999999996</v>
      </c>
      <c r="AG35" s="183">
        <f>Z35+(AG$61*Assum!$D$28)</f>
        <v>6.4050000000000011</v>
      </c>
      <c r="AH35" s="281"/>
      <c r="AI35" s="281"/>
      <c r="AJ35" s="281"/>
      <c r="AK35" s="323">
        <f>$BC35*($BJ$7)</f>
        <v>122958598.2324</v>
      </c>
      <c r="AL35" s="183">
        <f>AM35+AN35</f>
        <v>63.937499999999993</v>
      </c>
      <c r="AM35" s="183">
        <f>AF35+(AM$60*Assum!$E$38)</f>
        <v>57.107499999999995</v>
      </c>
      <c r="AN35" s="183">
        <f>AG35+(AN$61*Assum!$E$28)</f>
        <v>6.830000000000001</v>
      </c>
      <c r="AO35" s="281"/>
      <c r="AP35" s="281"/>
      <c r="AQ35" s="281"/>
      <c r="AR35" s="323">
        <f>$BD35*($BK$7)</f>
        <v>147550317.87887999</v>
      </c>
      <c r="AS35" s="183">
        <f>AT35+AU35</f>
        <v>70.75</v>
      </c>
      <c r="AT35" s="183">
        <f>AM35+(AT$60*Assum!$F$38)</f>
        <v>63.444999999999993</v>
      </c>
      <c r="AU35" s="183">
        <f>AN35+(AU$61*Assum!$E$28)</f>
        <v>7.3050000000000006</v>
      </c>
      <c r="AV35" s="183"/>
      <c r="AW35" s="183"/>
      <c r="AX35" s="183"/>
      <c r="AY35" s="323">
        <f>$BE35*($BL$7)</f>
        <v>165994107.61374</v>
      </c>
      <c r="AZ35" s="68"/>
      <c r="BA35" s="1040">
        <f>SUM(W35:W38)</f>
        <v>62733978.690000005</v>
      </c>
      <c r="BB35" s="1037">
        <f>BA35*(1+Assum!C$49)</f>
        <v>125467957.38000001</v>
      </c>
      <c r="BC35" s="1037">
        <f>BB35*(1+Assum!D$49)</f>
        <v>175655140.33200002</v>
      </c>
      <c r="BD35" s="1037">
        <f>BC35*(1+Assum!E$49)</f>
        <v>245917196.4648</v>
      </c>
      <c r="BE35" s="1037">
        <f>BD35*(1+Assum!F$49)</f>
        <v>331988215.22747999</v>
      </c>
    </row>
    <row r="36" spans="1:57">
      <c r="B36" s="303" t="s">
        <v>102</v>
      </c>
      <c r="C36" s="312" t="s">
        <v>105</v>
      </c>
      <c r="D36" s="68" t="s">
        <v>295</v>
      </c>
      <c r="E36" s="290">
        <v>5</v>
      </c>
      <c r="F36" s="157"/>
      <c r="G36" s="157"/>
      <c r="H36" s="157">
        <v>11</v>
      </c>
      <c r="I36" s="158">
        <f t="shared" si="5"/>
        <v>4919.1054545454544</v>
      </c>
      <c r="J36" s="321">
        <v>54110.16</v>
      </c>
      <c r="K36" s="158"/>
      <c r="L36" s="158"/>
      <c r="M36" s="158"/>
      <c r="N36" s="158"/>
      <c r="O36" s="158"/>
      <c r="P36" s="321">
        <f>N36*O36</f>
        <v>0</v>
      </c>
      <c r="Q36" s="158">
        <v>1</v>
      </c>
      <c r="R36" s="248">
        <f t="shared" si="3"/>
        <v>1</v>
      </c>
      <c r="S36" s="1024"/>
      <c r="T36" s="158"/>
      <c r="U36" s="158">
        <v>1</v>
      </c>
      <c r="V36" s="158">
        <f t="shared" si="6"/>
        <v>101694.92</v>
      </c>
      <c r="W36" s="321">
        <v>101694.92</v>
      </c>
      <c r="X36" s="248"/>
      <c r="Y36" s="248"/>
      <c r="Z36" s="248"/>
      <c r="AA36" s="68"/>
      <c r="AB36" s="68"/>
      <c r="AC36" s="68"/>
      <c r="AD36" s="321">
        <f>$BB$35*($BI$8)</f>
        <v>8364530.4919999987</v>
      </c>
      <c r="AE36" s="248"/>
      <c r="AF36" s="248"/>
      <c r="AG36" s="248"/>
      <c r="AH36" s="68"/>
      <c r="AI36" s="68"/>
      <c r="AJ36" s="68"/>
      <c r="AK36" s="321">
        <f>$BC$35*($BJ$8)</f>
        <v>17565514.033200007</v>
      </c>
      <c r="AL36" s="248"/>
      <c r="AM36" s="248"/>
      <c r="AN36" s="248"/>
      <c r="AO36" s="68"/>
      <c r="AP36" s="68"/>
      <c r="AQ36" s="68"/>
      <c r="AR36" s="321">
        <f>$BD$35*($BK$8)</f>
        <v>32788959.528639998</v>
      </c>
      <c r="AS36" s="248"/>
      <c r="AT36" s="248"/>
      <c r="AU36" s="248"/>
      <c r="AV36" s="248"/>
      <c r="AW36" s="248"/>
      <c r="AX36" s="248"/>
      <c r="AY36" s="321">
        <f>$BE$35*($BL$8)</f>
        <v>55331369.204579994</v>
      </c>
      <c r="AZ36" s="68"/>
      <c r="BA36" s="1041"/>
      <c r="BB36" s="1038"/>
      <c r="BC36" s="1038"/>
      <c r="BD36" s="1038"/>
      <c r="BE36" s="1038"/>
    </row>
    <row r="37" spans="1:57">
      <c r="B37" s="303" t="s">
        <v>102</v>
      </c>
      <c r="C37" s="312" t="s">
        <v>105</v>
      </c>
      <c r="D37" s="68" t="s">
        <v>296</v>
      </c>
      <c r="E37" s="290">
        <v>3</v>
      </c>
      <c r="F37" s="157"/>
      <c r="G37" s="157"/>
      <c r="H37" s="157">
        <v>10</v>
      </c>
      <c r="I37" s="157">
        <f t="shared" si="5"/>
        <v>6306.3159999999998</v>
      </c>
      <c r="J37" s="321">
        <v>63063.159999999996</v>
      </c>
      <c r="K37" s="158"/>
      <c r="L37" s="158"/>
      <c r="M37" s="158"/>
      <c r="N37" s="158"/>
      <c r="O37" s="158"/>
      <c r="P37" s="321">
        <f>N37*O37</f>
        <v>0</v>
      </c>
      <c r="Q37" s="158">
        <v>7</v>
      </c>
      <c r="R37" s="248">
        <f t="shared" si="3"/>
        <v>7</v>
      </c>
      <c r="S37" s="1024"/>
      <c r="T37" s="158"/>
      <c r="U37" s="158">
        <v>54</v>
      </c>
      <c r="V37" s="158">
        <f t="shared" si="6"/>
        <v>33200.634999999995</v>
      </c>
      <c r="W37" s="321">
        <v>1792834.2899999998</v>
      </c>
      <c r="X37" s="248"/>
      <c r="Y37" s="248"/>
      <c r="Z37" s="248"/>
      <c r="AA37" s="68"/>
      <c r="AB37" s="68"/>
      <c r="AC37" s="68"/>
      <c r="AD37" s="321">
        <f>$BB$35*($BI$9)</f>
        <v>8364530.4919999987</v>
      </c>
      <c r="AE37" s="248"/>
      <c r="AF37" s="248"/>
      <c r="AG37" s="248"/>
      <c r="AH37" s="68"/>
      <c r="AI37" s="68"/>
      <c r="AJ37" s="68"/>
      <c r="AK37" s="321">
        <f>$BC$35*($BJ$9)</f>
        <v>17565514.033200007</v>
      </c>
      <c r="AL37" s="248"/>
      <c r="AM37" s="248"/>
      <c r="AN37" s="248"/>
      <c r="AO37" s="68"/>
      <c r="AP37" s="68"/>
      <c r="AQ37" s="68"/>
      <c r="AR37" s="321">
        <f>$BD$35*($BK$9)</f>
        <v>32788959.528639998</v>
      </c>
      <c r="AS37" s="248"/>
      <c r="AT37" s="248"/>
      <c r="AU37" s="248"/>
      <c r="AV37" s="248"/>
      <c r="AW37" s="248"/>
      <c r="AX37" s="248"/>
      <c r="AY37" s="321">
        <f>$BE$35*($BL$9)</f>
        <v>55331369.204579994</v>
      </c>
      <c r="AZ37" s="68"/>
      <c r="BA37" s="1041"/>
      <c r="BB37" s="1038"/>
      <c r="BC37" s="1038"/>
      <c r="BD37" s="1038"/>
      <c r="BE37" s="1038"/>
    </row>
    <row r="38" spans="1:57">
      <c r="B38" s="305" t="s">
        <v>102</v>
      </c>
      <c r="C38" s="313" t="s">
        <v>105</v>
      </c>
      <c r="D38" s="307" t="s">
        <v>297</v>
      </c>
      <c r="E38" s="308">
        <v>24</v>
      </c>
      <c r="F38" s="309"/>
      <c r="G38" s="309"/>
      <c r="H38" s="309">
        <v>6526</v>
      </c>
      <c r="I38" s="310">
        <f t="shared" si="5"/>
        <v>176.64347226478694</v>
      </c>
      <c r="J38" s="322">
        <v>1152775.2999999996</v>
      </c>
      <c r="K38" s="310">
        <v>10</v>
      </c>
      <c r="L38" s="310"/>
      <c r="M38" s="310"/>
      <c r="N38" s="310">
        <v>1141</v>
      </c>
      <c r="O38" s="310">
        <f t="shared" ref="O38:O54" si="7">P38/N38</f>
        <v>165.01885188431197</v>
      </c>
      <c r="P38" s="322">
        <v>188286.50999999995</v>
      </c>
      <c r="Q38" s="310">
        <v>13</v>
      </c>
      <c r="R38" s="310">
        <f t="shared" si="3"/>
        <v>13</v>
      </c>
      <c r="S38" s="1025"/>
      <c r="T38" s="310"/>
      <c r="U38" s="310">
        <v>454</v>
      </c>
      <c r="V38" s="310">
        <f t="shared" si="6"/>
        <v>252.48070484581501</v>
      </c>
      <c r="W38" s="322">
        <v>114626.24000000002</v>
      </c>
      <c r="X38" s="310"/>
      <c r="Y38" s="310"/>
      <c r="Z38" s="310"/>
      <c r="AA38" s="307"/>
      <c r="AB38" s="307"/>
      <c r="AC38" s="307"/>
      <c r="AD38" s="322">
        <f>$BB$35*($BI$10)</f>
        <v>8364530.4919999987</v>
      </c>
      <c r="AE38" s="310"/>
      <c r="AF38" s="310"/>
      <c r="AG38" s="310"/>
      <c r="AH38" s="307"/>
      <c r="AI38" s="307"/>
      <c r="AJ38" s="307"/>
      <c r="AK38" s="322">
        <f>$BC$35*($BJ$10)</f>
        <v>17565514.033200007</v>
      </c>
      <c r="AL38" s="310"/>
      <c r="AM38" s="310"/>
      <c r="AN38" s="310"/>
      <c r="AO38" s="307"/>
      <c r="AP38" s="307"/>
      <c r="AQ38" s="307"/>
      <c r="AR38" s="322">
        <f>$BD$35*($BK$10)</f>
        <v>32788959.528639998</v>
      </c>
      <c r="AS38" s="310"/>
      <c r="AT38" s="310"/>
      <c r="AU38" s="310"/>
      <c r="AV38" s="310"/>
      <c r="AW38" s="310"/>
      <c r="AX38" s="310"/>
      <c r="AY38" s="322">
        <f>$BE$35*($BL$10)</f>
        <v>55331369.204579994</v>
      </c>
      <c r="AZ38" s="68"/>
      <c r="BA38" s="1042"/>
      <c r="BB38" s="1039"/>
      <c r="BC38" s="1039"/>
      <c r="BD38" s="1039"/>
      <c r="BE38" s="1039"/>
    </row>
    <row r="39" spans="1:57">
      <c r="A39" s="161"/>
      <c r="B39" s="162" t="s">
        <v>102</v>
      </c>
      <c r="C39" s="161" t="s">
        <v>306</v>
      </c>
      <c r="D39" s="162" t="s">
        <v>294</v>
      </c>
      <c r="E39" s="292">
        <v>44</v>
      </c>
      <c r="F39" s="163"/>
      <c r="G39" s="163">
        <v>899615</v>
      </c>
      <c r="H39" s="163">
        <v>2398</v>
      </c>
      <c r="I39" s="436">
        <f t="shared" si="5"/>
        <v>10545.681643035865</v>
      </c>
      <c r="J39" s="321">
        <v>25288544.580000006</v>
      </c>
      <c r="K39" s="164">
        <v>39</v>
      </c>
      <c r="L39" s="164"/>
      <c r="M39" s="164">
        <v>460175</v>
      </c>
      <c r="N39" s="164">
        <v>1087</v>
      </c>
      <c r="O39" s="436">
        <f t="shared" si="7"/>
        <v>13640.313891444341</v>
      </c>
      <c r="P39" s="321">
        <v>14827021.199999997</v>
      </c>
      <c r="Q39" s="164">
        <v>68</v>
      </c>
      <c r="R39" s="286">
        <f t="shared" si="3"/>
        <v>62.32</v>
      </c>
      <c r="S39" s="1027">
        <f>VLOOKUP($C39,Assum!$B$11:$G$22,4,FALSE)*HLOOKUP($B39,Assum!$C$9:$G$10,2,FALSE)*S$55</f>
        <v>5.6800000000000015</v>
      </c>
      <c r="T39" s="164">
        <v>3389480</v>
      </c>
      <c r="U39" s="164">
        <v>7116</v>
      </c>
      <c r="V39" s="164">
        <f t="shared" si="6"/>
        <v>8907.2902332771209</v>
      </c>
      <c r="W39" s="321">
        <v>63384277.299999997</v>
      </c>
      <c r="X39" s="286">
        <f>Y39+Z39</f>
        <v>172.02499999999995</v>
      </c>
      <c r="Y39" s="286">
        <f>SUM(R39:R42)+(Y$60*Assum!$C$37)</f>
        <v>163.54499999999996</v>
      </c>
      <c r="Z39" s="286">
        <f>S39+(Z$61*Assum!$C$27)</f>
        <v>8.4800000000000022</v>
      </c>
      <c r="AA39" s="162"/>
      <c r="AB39" s="162"/>
      <c r="AC39" s="162"/>
      <c r="AD39" s="321">
        <f>$BB39*($BI$7)</f>
        <v>86573562.000400007</v>
      </c>
      <c r="AE39" s="286">
        <f>AF39+AG39</f>
        <v>199.52499999999995</v>
      </c>
      <c r="AF39" s="286">
        <f>Y39+(AF$60*Assum!$D$37)</f>
        <v>188.04499999999996</v>
      </c>
      <c r="AG39" s="286">
        <f>Z39+(AG$61*Assum!$D$27)</f>
        <v>11.480000000000002</v>
      </c>
      <c r="AH39" s="162"/>
      <c r="AI39" s="162"/>
      <c r="AJ39" s="162"/>
      <c r="AK39" s="321">
        <f>$BC39*($BJ$7)</f>
        <v>113627800.125525</v>
      </c>
      <c r="AL39" s="286">
        <f>AM39+AN39</f>
        <v>229.87499999999994</v>
      </c>
      <c r="AM39" s="286">
        <f>AF39+(AM$60*Assum!$E$37)</f>
        <v>214.99499999999995</v>
      </c>
      <c r="AN39" s="286">
        <f>AG39+(AN$61*Assum!$E$27)</f>
        <v>14.880000000000003</v>
      </c>
      <c r="AO39" s="162"/>
      <c r="AP39" s="162"/>
      <c r="AQ39" s="162"/>
      <c r="AR39" s="321">
        <f>$BD39*($BK$7)</f>
        <v>146092885.87567499</v>
      </c>
      <c r="AS39" s="286">
        <f>AT39+AU39</f>
        <v>263.24999999999994</v>
      </c>
      <c r="AT39" s="286">
        <f>SUM(AM39:AM42)+(AT$60*Assum!$F$37)</f>
        <v>244.56999999999994</v>
      </c>
      <c r="AU39" s="286">
        <f>AN39+(AU$61*Assum!$E$27)</f>
        <v>18.680000000000003</v>
      </c>
      <c r="AV39" s="286"/>
      <c r="AW39" s="286"/>
      <c r="AX39" s="286"/>
      <c r="AY39" s="321">
        <f>$BE39*($BL$7)</f>
        <v>182616107.34459376</v>
      </c>
      <c r="AZ39" s="68"/>
      <c r="BA39" s="1040">
        <f>SUM(W39:W42)</f>
        <v>69817388.709999993</v>
      </c>
      <c r="BB39" s="1040">
        <f>BA39*(1+Assum!C$50)</f>
        <v>108216952.50049999</v>
      </c>
      <c r="BC39" s="1040">
        <f>BB39*(1+Assum!D$50)</f>
        <v>162325428.75075001</v>
      </c>
      <c r="BD39" s="1040">
        <f>BC39*(1+Assum!E$50)</f>
        <v>243488143.12612501</v>
      </c>
      <c r="BE39" s="1040">
        <f>BD39*(1+Assum!F$50)</f>
        <v>365232214.68918753</v>
      </c>
    </row>
    <row r="40" spans="1:57">
      <c r="A40" s="161"/>
      <c r="B40" s="165" t="s">
        <v>102</v>
      </c>
      <c r="C40" s="170" t="s">
        <v>306</v>
      </c>
      <c r="D40" s="162" t="s">
        <v>295</v>
      </c>
      <c r="E40" s="292">
        <v>9</v>
      </c>
      <c r="F40" s="163"/>
      <c r="G40" s="163"/>
      <c r="H40" s="163">
        <v>29</v>
      </c>
      <c r="I40" s="164">
        <f t="shared" si="5"/>
        <v>11412.186206896551</v>
      </c>
      <c r="J40" s="321">
        <v>330953.39999999997</v>
      </c>
      <c r="K40" s="164">
        <v>8</v>
      </c>
      <c r="L40" s="164"/>
      <c r="M40" s="164"/>
      <c r="N40" s="164">
        <v>28</v>
      </c>
      <c r="O40" s="164">
        <f t="shared" si="7"/>
        <v>29975.03107142857</v>
      </c>
      <c r="P40" s="321">
        <v>839300.87</v>
      </c>
      <c r="Q40" s="164">
        <v>7</v>
      </c>
      <c r="R40" s="286">
        <f t="shared" si="3"/>
        <v>7</v>
      </c>
      <c r="S40" s="1028"/>
      <c r="T40" s="164"/>
      <c r="U40" s="164">
        <v>11</v>
      </c>
      <c r="V40" s="164">
        <f t="shared" si="6"/>
        <v>62331.359999999993</v>
      </c>
      <c r="W40" s="321">
        <v>685644.96</v>
      </c>
      <c r="X40" s="286"/>
      <c r="Y40" s="286"/>
      <c r="Z40" s="286"/>
      <c r="AA40" s="162"/>
      <c r="AB40" s="162"/>
      <c r="AC40" s="162"/>
      <c r="AD40" s="321">
        <f>$BB$39*($BI$8)</f>
        <v>7214463.5000333311</v>
      </c>
      <c r="AE40" s="286"/>
      <c r="AF40" s="286"/>
      <c r="AG40" s="286"/>
      <c r="AH40" s="162"/>
      <c r="AI40" s="162"/>
      <c r="AJ40" s="162"/>
      <c r="AK40" s="321">
        <f>$BC$39*($BJ$8)</f>
        <v>16232542.875075003</v>
      </c>
      <c r="AL40" s="286"/>
      <c r="AM40" s="286"/>
      <c r="AN40" s="286"/>
      <c r="AO40" s="162"/>
      <c r="AP40" s="162"/>
      <c r="AQ40" s="162"/>
      <c r="AR40" s="321">
        <f>$BD$39*($BK$8)</f>
        <v>32465085.750149999</v>
      </c>
      <c r="AS40" s="286"/>
      <c r="AT40" s="286"/>
      <c r="AU40" s="286"/>
      <c r="AV40" s="286"/>
      <c r="AW40" s="286"/>
      <c r="AX40" s="286"/>
      <c r="AY40" s="321">
        <f>$BE$39*($BL$8)</f>
        <v>60872035.781531252</v>
      </c>
      <c r="AZ40" s="68"/>
      <c r="BA40" s="1041"/>
      <c r="BB40" s="1041"/>
      <c r="BC40" s="1041"/>
      <c r="BD40" s="1041"/>
      <c r="BE40" s="1041"/>
    </row>
    <row r="41" spans="1:57">
      <c r="A41" s="161"/>
      <c r="B41" s="165" t="s">
        <v>102</v>
      </c>
      <c r="C41" s="170" t="s">
        <v>306</v>
      </c>
      <c r="D41" s="162" t="s">
        <v>296</v>
      </c>
      <c r="E41" s="292">
        <v>10</v>
      </c>
      <c r="F41" s="163"/>
      <c r="G41" s="163"/>
      <c r="H41" s="163">
        <v>40</v>
      </c>
      <c r="I41" s="164">
        <f t="shared" si="5"/>
        <v>7307.1355000000021</v>
      </c>
      <c r="J41" s="321">
        <v>292285.4200000001</v>
      </c>
      <c r="K41" s="164">
        <v>16</v>
      </c>
      <c r="L41" s="164"/>
      <c r="M41" s="164"/>
      <c r="N41" s="164">
        <v>25</v>
      </c>
      <c r="O41" s="164">
        <f t="shared" si="7"/>
        <v>62546.875200000024</v>
      </c>
      <c r="P41" s="321">
        <v>1563671.8800000006</v>
      </c>
      <c r="Q41" s="164">
        <v>23</v>
      </c>
      <c r="R41" s="286">
        <f t="shared" si="3"/>
        <v>23</v>
      </c>
      <c r="S41" s="1028"/>
      <c r="T41" s="164"/>
      <c r="U41" s="164">
        <v>104</v>
      </c>
      <c r="V41" s="164">
        <f t="shared" si="6"/>
        <v>39316.333749999991</v>
      </c>
      <c r="W41" s="321">
        <v>4088898.709999999</v>
      </c>
      <c r="X41" s="286"/>
      <c r="Y41" s="286"/>
      <c r="Z41" s="286"/>
      <c r="AA41" s="162"/>
      <c r="AB41" s="162"/>
      <c r="AC41" s="162"/>
      <c r="AD41" s="321">
        <f>$BB$39*($BI$9)</f>
        <v>7214463.5000333311</v>
      </c>
      <c r="AE41" s="286"/>
      <c r="AF41" s="286"/>
      <c r="AG41" s="286"/>
      <c r="AH41" s="162"/>
      <c r="AI41" s="162"/>
      <c r="AJ41" s="162"/>
      <c r="AK41" s="321">
        <f>$BC$39*($BJ$9)</f>
        <v>16232542.875075003</v>
      </c>
      <c r="AL41" s="286"/>
      <c r="AM41" s="286"/>
      <c r="AN41" s="286"/>
      <c r="AO41" s="162"/>
      <c r="AP41" s="162"/>
      <c r="AQ41" s="162"/>
      <c r="AR41" s="321">
        <f>$BD$39*($BK$9)</f>
        <v>32465085.750149999</v>
      </c>
      <c r="AS41" s="286"/>
      <c r="AT41" s="286"/>
      <c r="AU41" s="286"/>
      <c r="AV41" s="286"/>
      <c r="AW41" s="286"/>
      <c r="AX41" s="286"/>
      <c r="AY41" s="321">
        <f>$BE$39*($BL$9)</f>
        <v>60872035.781531252</v>
      </c>
      <c r="AZ41" s="68"/>
      <c r="BA41" s="1041"/>
      <c r="BB41" s="1041"/>
      <c r="BC41" s="1041"/>
      <c r="BD41" s="1041"/>
      <c r="BE41" s="1041"/>
    </row>
    <row r="42" spans="1:57">
      <c r="A42" s="161"/>
      <c r="B42" s="184" t="s">
        <v>102</v>
      </c>
      <c r="C42" s="185" t="s">
        <v>306</v>
      </c>
      <c r="D42" s="186" t="s">
        <v>297</v>
      </c>
      <c r="E42" s="293">
        <v>74</v>
      </c>
      <c r="F42" s="187"/>
      <c r="G42" s="187"/>
      <c r="H42" s="187">
        <v>11273</v>
      </c>
      <c r="I42" s="164">
        <f t="shared" si="5"/>
        <v>375.01261421094688</v>
      </c>
      <c r="J42" s="322">
        <v>4227517.2000000039</v>
      </c>
      <c r="K42" s="188">
        <v>56</v>
      </c>
      <c r="L42" s="188"/>
      <c r="M42" s="188"/>
      <c r="N42" s="188">
        <v>5887</v>
      </c>
      <c r="O42" s="188">
        <f t="shared" si="7"/>
        <v>679.7698624086978</v>
      </c>
      <c r="P42" s="322">
        <v>4001805.1800000039</v>
      </c>
      <c r="Q42" s="188">
        <v>49</v>
      </c>
      <c r="R42" s="188">
        <f t="shared" si="3"/>
        <v>49</v>
      </c>
      <c r="S42" s="1029"/>
      <c r="T42" s="188"/>
      <c r="U42" s="188">
        <v>2871</v>
      </c>
      <c r="V42" s="188">
        <f t="shared" si="6"/>
        <v>577.69687913618986</v>
      </c>
      <c r="W42" s="322">
        <v>1658567.7400000012</v>
      </c>
      <c r="X42" s="188"/>
      <c r="Y42" s="188"/>
      <c r="Z42" s="188"/>
      <c r="AA42" s="186"/>
      <c r="AB42" s="186"/>
      <c r="AC42" s="186"/>
      <c r="AD42" s="322">
        <f>$BB$39*($BI$10)</f>
        <v>7214463.5000333311</v>
      </c>
      <c r="AE42" s="188"/>
      <c r="AF42" s="188"/>
      <c r="AG42" s="188"/>
      <c r="AH42" s="186"/>
      <c r="AI42" s="186"/>
      <c r="AJ42" s="186"/>
      <c r="AK42" s="322">
        <f>$BC$39*($BJ$10)</f>
        <v>16232542.875075003</v>
      </c>
      <c r="AL42" s="188"/>
      <c r="AM42" s="188"/>
      <c r="AN42" s="188"/>
      <c r="AO42" s="186"/>
      <c r="AP42" s="186"/>
      <c r="AQ42" s="186"/>
      <c r="AR42" s="322">
        <f>$BD$39*($BK$10)</f>
        <v>32465085.750149999</v>
      </c>
      <c r="AS42" s="188"/>
      <c r="AT42" s="188"/>
      <c r="AU42" s="188"/>
      <c r="AV42" s="188"/>
      <c r="AW42" s="188"/>
      <c r="AX42" s="188"/>
      <c r="AY42" s="322">
        <f>$BE$39*($BL$10)</f>
        <v>60872035.781531252</v>
      </c>
      <c r="AZ42" s="68"/>
      <c r="BA42" s="1042"/>
      <c r="BB42" s="1042"/>
      <c r="BC42" s="1042"/>
      <c r="BD42" s="1042"/>
      <c r="BE42" s="1042"/>
    </row>
    <row r="43" spans="1:57">
      <c r="B43" s="68" t="s">
        <v>107</v>
      </c>
      <c r="C43" s="149" t="s">
        <v>108</v>
      </c>
      <c r="D43" s="68" t="s">
        <v>294</v>
      </c>
      <c r="E43" s="290">
        <v>22</v>
      </c>
      <c r="F43" s="157"/>
      <c r="G43" s="157">
        <v>1907665</v>
      </c>
      <c r="H43" s="157">
        <v>5977</v>
      </c>
      <c r="I43" s="158">
        <f t="shared" si="5"/>
        <v>8879.7633177179123</v>
      </c>
      <c r="J43" s="321">
        <v>53074345.349999957</v>
      </c>
      <c r="K43" s="158">
        <v>28</v>
      </c>
      <c r="L43" s="158"/>
      <c r="M43" s="158">
        <v>365640</v>
      </c>
      <c r="N43" s="158">
        <v>1185</v>
      </c>
      <c r="O43" s="158">
        <f t="shared" si="7"/>
        <v>10333.823240506325</v>
      </c>
      <c r="P43" s="321">
        <v>12245580.539999995</v>
      </c>
      <c r="Q43" s="158">
        <v>54</v>
      </c>
      <c r="R43" s="158">
        <f t="shared" si="3"/>
        <v>48.32</v>
      </c>
      <c r="S43" s="1026">
        <f>VLOOKUP($C43,Assum!$B$11:$G$22,5,FALSE)*HLOOKUP($B43,Assum!$C$9:$G$10,2,FALSE)*S$55</f>
        <v>5.6800000000000015</v>
      </c>
      <c r="T43" s="158">
        <v>2376690</v>
      </c>
      <c r="U43" s="158">
        <v>5431</v>
      </c>
      <c r="V43" s="158">
        <f t="shared" si="6"/>
        <v>8869.8337525317584</v>
      </c>
      <c r="W43" s="321">
        <v>48172067.109999985</v>
      </c>
      <c r="X43" s="248">
        <f>Y43+Z43</f>
        <v>117.11249999999998</v>
      </c>
      <c r="Y43" s="248">
        <f>SUM(R43:R46)+(Y$60*Assum!$C$38)</f>
        <v>111.08249999999998</v>
      </c>
      <c r="Z43" s="248">
        <f>S43+(Z$61*Assum!$C$28)</f>
        <v>6.0300000000000011</v>
      </c>
      <c r="AA43" s="68"/>
      <c r="AB43" s="68"/>
      <c r="AC43" s="68"/>
      <c r="AD43" s="321">
        <f>$BB43*($BI$7)</f>
        <v>80581628.943999976</v>
      </c>
      <c r="AE43" s="248">
        <f>AF43+AG43</f>
        <v>122.73749999999998</v>
      </c>
      <c r="AF43" s="248">
        <f>Y43+(AF$60*Assum!$D$38)</f>
        <v>116.33249999999998</v>
      </c>
      <c r="AG43" s="248">
        <f>Z43+(AG$61*Assum!$D$28)</f>
        <v>6.4050000000000011</v>
      </c>
      <c r="AH43" s="68"/>
      <c r="AI43" s="68"/>
      <c r="AJ43" s="68"/>
      <c r="AK43" s="321">
        <f>$BC43*($BJ$7)</f>
        <v>105763387.98899996</v>
      </c>
      <c r="AL43" s="248">
        <f>AM43+AN43</f>
        <v>128.9375</v>
      </c>
      <c r="AM43" s="248">
        <f>AF43+(AM$60*Assum!$E$38)</f>
        <v>122.10749999999999</v>
      </c>
      <c r="AN43" s="248">
        <f>AG43+(AN$61*Assum!$E$28)</f>
        <v>6.830000000000001</v>
      </c>
      <c r="AO43" s="68"/>
      <c r="AP43" s="68"/>
      <c r="AQ43" s="68"/>
      <c r="AR43" s="321">
        <f>$BD43*($BK$7)</f>
        <v>163177798.61159995</v>
      </c>
      <c r="AS43" s="248">
        <f>AT43+AU43</f>
        <v>135.75</v>
      </c>
      <c r="AT43" s="248">
        <f>AM43+(AT$60*Assum!$F$38)</f>
        <v>128.44499999999999</v>
      </c>
      <c r="AU43" s="248">
        <f>AN43+(AU$61*Assum!$E$28)</f>
        <v>7.3050000000000006</v>
      </c>
      <c r="AV43" s="248"/>
      <c r="AW43" s="248"/>
      <c r="AX43" s="248"/>
      <c r="AY43" s="321">
        <f>$BE43*($BL$7)</f>
        <v>231168548.03309992</v>
      </c>
      <c r="AZ43" s="68"/>
      <c r="BA43" s="1040">
        <f>SUM(W43:W46)</f>
        <v>50363518.089999981</v>
      </c>
      <c r="BB43" s="1037">
        <f>BA43*(1+Assum!C$51)</f>
        <v>100727036.17999996</v>
      </c>
      <c r="BC43" s="1037">
        <f>BB43*(1+Assum!D$51)</f>
        <v>151090554.26999995</v>
      </c>
      <c r="BD43" s="1037">
        <f>BC43*(1+Assum!E$51)</f>
        <v>271962997.68599993</v>
      </c>
      <c r="BE43" s="1037">
        <f>BD43*(1+Assum!F$51)</f>
        <v>462337096.06619984</v>
      </c>
    </row>
    <row r="44" spans="1:57">
      <c r="B44" s="303" t="s">
        <v>107</v>
      </c>
      <c r="C44" s="304" t="s">
        <v>108</v>
      </c>
      <c r="D44" s="68" t="s">
        <v>295</v>
      </c>
      <c r="E44" s="290">
        <v>6</v>
      </c>
      <c r="F44" s="157"/>
      <c r="G44" s="157"/>
      <c r="H44" s="157">
        <v>23</v>
      </c>
      <c r="I44" s="158">
        <f t="shared" si="5"/>
        <v>2920.0452173913036</v>
      </c>
      <c r="J44" s="321">
        <v>67161.039999999979</v>
      </c>
      <c r="K44" s="158">
        <v>8</v>
      </c>
      <c r="L44" s="158"/>
      <c r="M44" s="158"/>
      <c r="N44" s="158">
        <v>16</v>
      </c>
      <c r="O44" s="158">
        <f t="shared" si="7"/>
        <v>21828.654999999995</v>
      </c>
      <c r="P44" s="321">
        <v>349258.47999999992</v>
      </c>
      <c r="Q44" s="158">
        <v>5</v>
      </c>
      <c r="R44" s="248">
        <f t="shared" si="3"/>
        <v>5</v>
      </c>
      <c r="S44" s="1024"/>
      <c r="T44" s="158"/>
      <c r="U44" s="158">
        <v>5</v>
      </c>
      <c r="V44" s="158">
        <f t="shared" si="6"/>
        <v>76796.610000000015</v>
      </c>
      <c r="W44" s="321">
        <v>383983.05000000005</v>
      </c>
      <c r="X44" s="248"/>
      <c r="Y44" s="248"/>
      <c r="Z44" s="248"/>
      <c r="AA44" s="68"/>
      <c r="AB44" s="68"/>
      <c r="AC44" s="68"/>
      <c r="AD44" s="321">
        <f>$BB43*($BI$8)</f>
        <v>6715135.7453333298</v>
      </c>
      <c r="AE44" s="248"/>
      <c r="AF44" s="248"/>
      <c r="AG44" s="248"/>
      <c r="AH44" s="68"/>
      <c r="AI44" s="68"/>
      <c r="AJ44" s="68"/>
      <c r="AK44" s="321">
        <f>$BC43*($BJ$8)</f>
        <v>15109055.426999997</v>
      </c>
      <c r="AL44" s="248"/>
      <c r="AM44" s="248"/>
      <c r="AN44" s="248"/>
      <c r="AO44" s="68"/>
      <c r="AP44" s="68"/>
      <c r="AQ44" s="68"/>
      <c r="AR44" s="321">
        <f>$BD43*($BK$8)</f>
        <v>36261733.024799988</v>
      </c>
      <c r="AS44" s="248"/>
      <c r="AT44" s="248"/>
      <c r="AU44" s="248"/>
      <c r="AV44" s="248"/>
      <c r="AW44" s="248"/>
      <c r="AX44" s="248"/>
      <c r="AY44" s="321">
        <f>$BE43*($BL$8)</f>
        <v>77056182.677699968</v>
      </c>
      <c r="AZ44" s="68"/>
      <c r="BA44" s="1041"/>
      <c r="BB44" s="1038"/>
      <c r="BC44" s="1038"/>
      <c r="BD44" s="1038"/>
      <c r="BE44" s="1038"/>
    </row>
    <row r="45" spans="1:57">
      <c r="B45" s="303" t="s">
        <v>107</v>
      </c>
      <c r="C45" s="304" t="s">
        <v>108</v>
      </c>
      <c r="D45" s="68" t="s">
        <v>296</v>
      </c>
      <c r="E45" s="290">
        <v>7</v>
      </c>
      <c r="F45" s="157"/>
      <c r="G45" s="157"/>
      <c r="H45" s="157">
        <v>54</v>
      </c>
      <c r="I45" s="158">
        <f t="shared" si="5"/>
        <v>7054.9885185185194</v>
      </c>
      <c r="J45" s="321">
        <v>380969.38000000006</v>
      </c>
      <c r="K45" s="158">
        <v>11</v>
      </c>
      <c r="L45" s="158"/>
      <c r="M45" s="158"/>
      <c r="N45" s="158">
        <v>19</v>
      </c>
      <c r="O45" s="158">
        <f t="shared" si="7"/>
        <v>78177.527368421041</v>
      </c>
      <c r="P45" s="321">
        <v>1485373.0199999998</v>
      </c>
      <c r="Q45" s="158">
        <v>15</v>
      </c>
      <c r="R45" s="248">
        <f t="shared" si="3"/>
        <v>15</v>
      </c>
      <c r="S45" s="1024"/>
      <c r="T45" s="158"/>
      <c r="U45" s="158">
        <v>39</v>
      </c>
      <c r="V45" s="158">
        <f t="shared" si="6"/>
        <v>31249.982307692309</v>
      </c>
      <c r="W45" s="321">
        <v>1218749.31</v>
      </c>
      <c r="X45" s="248"/>
      <c r="Y45" s="248"/>
      <c r="Z45" s="248"/>
      <c r="AA45" s="68"/>
      <c r="AB45" s="68"/>
      <c r="AC45" s="68"/>
      <c r="AD45" s="321">
        <f>$BB43*($BI$9)</f>
        <v>6715135.7453333298</v>
      </c>
      <c r="AE45" s="248"/>
      <c r="AF45" s="248"/>
      <c r="AG45" s="248"/>
      <c r="AH45" s="68"/>
      <c r="AI45" s="68"/>
      <c r="AJ45" s="68"/>
      <c r="AK45" s="321">
        <f>$BC43*($BJ$9)</f>
        <v>15109055.426999997</v>
      </c>
      <c r="AL45" s="248"/>
      <c r="AM45" s="248"/>
      <c r="AN45" s="248"/>
      <c r="AO45" s="68"/>
      <c r="AP45" s="68"/>
      <c r="AQ45" s="68"/>
      <c r="AR45" s="321">
        <f>$BD43*($BK$9)</f>
        <v>36261733.024799988</v>
      </c>
      <c r="AS45" s="248"/>
      <c r="AT45" s="248"/>
      <c r="AU45" s="248"/>
      <c r="AV45" s="248"/>
      <c r="AW45" s="248"/>
      <c r="AX45" s="248"/>
      <c r="AY45" s="321">
        <f>$BE43*($BL$9)</f>
        <v>77056182.677699968</v>
      </c>
      <c r="AZ45" s="68"/>
      <c r="BA45" s="1041"/>
      <c r="BB45" s="1038"/>
      <c r="BC45" s="1038"/>
      <c r="BD45" s="1038"/>
      <c r="BE45" s="1038"/>
    </row>
    <row r="46" spans="1:57">
      <c r="B46" s="305" t="s">
        <v>107</v>
      </c>
      <c r="C46" s="306" t="s">
        <v>108</v>
      </c>
      <c r="D46" s="307" t="s">
        <v>297</v>
      </c>
      <c r="E46" s="308">
        <v>36</v>
      </c>
      <c r="F46" s="309"/>
      <c r="G46" s="309"/>
      <c r="H46" s="309">
        <v>36439</v>
      </c>
      <c r="I46" s="310">
        <f t="shared" si="5"/>
        <v>193.70690441559881</v>
      </c>
      <c r="J46" s="322">
        <v>7058485.8900000053</v>
      </c>
      <c r="K46" s="310">
        <v>40</v>
      </c>
      <c r="L46" s="310"/>
      <c r="M46" s="310"/>
      <c r="N46" s="310">
        <v>14888</v>
      </c>
      <c r="O46" s="310">
        <f t="shared" si="7"/>
        <v>189.11581407845301</v>
      </c>
      <c r="P46" s="322">
        <v>2815556.2400000086</v>
      </c>
      <c r="Q46" s="310">
        <v>38</v>
      </c>
      <c r="R46" s="310">
        <f t="shared" si="3"/>
        <v>38</v>
      </c>
      <c r="S46" s="1025"/>
      <c r="T46" s="310"/>
      <c r="U46" s="310">
        <v>1977</v>
      </c>
      <c r="V46" s="310">
        <f t="shared" si="6"/>
        <v>297.7838239757204</v>
      </c>
      <c r="W46" s="322">
        <v>588718.61999999918</v>
      </c>
      <c r="X46" s="310"/>
      <c r="Y46" s="310"/>
      <c r="Z46" s="310"/>
      <c r="AA46" s="307"/>
      <c r="AB46" s="307"/>
      <c r="AC46" s="307"/>
      <c r="AD46" s="322">
        <f>$BB43*($BI$10)</f>
        <v>6715135.7453333298</v>
      </c>
      <c r="AE46" s="310"/>
      <c r="AF46" s="310"/>
      <c r="AG46" s="310"/>
      <c r="AH46" s="307"/>
      <c r="AI46" s="307"/>
      <c r="AJ46" s="307"/>
      <c r="AK46" s="322">
        <f>$BC43*($BJ$10)</f>
        <v>15109055.426999997</v>
      </c>
      <c r="AL46" s="310"/>
      <c r="AM46" s="310"/>
      <c r="AN46" s="310"/>
      <c r="AO46" s="307"/>
      <c r="AP46" s="307"/>
      <c r="AQ46" s="307"/>
      <c r="AR46" s="322">
        <f>$BD43*($BK$10)</f>
        <v>36261733.024799988</v>
      </c>
      <c r="AS46" s="310"/>
      <c r="AT46" s="310"/>
      <c r="AU46" s="310"/>
      <c r="AV46" s="310"/>
      <c r="AW46" s="310"/>
      <c r="AX46" s="310"/>
      <c r="AY46" s="322">
        <f>$BE43*($BL$10)</f>
        <v>77056182.677699968</v>
      </c>
      <c r="AZ46" s="68"/>
      <c r="BA46" s="1042"/>
      <c r="BB46" s="1039"/>
      <c r="BC46" s="1039"/>
      <c r="BD46" s="1039"/>
      <c r="BE46" s="1039"/>
    </row>
    <row r="47" spans="1:57">
      <c r="B47" s="281" t="s">
        <v>107</v>
      </c>
      <c r="C47" s="282" t="s">
        <v>307</v>
      </c>
      <c r="D47" s="281" t="s">
        <v>294</v>
      </c>
      <c r="E47" s="291">
        <v>12</v>
      </c>
      <c r="F47" s="182"/>
      <c r="G47" s="182">
        <v>451095</v>
      </c>
      <c r="H47" s="182">
        <v>1261</v>
      </c>
      <c r="I47" s="183">
        <f t="shared" si="5"/>
        <v>10230.398794607456</v>
      </c>
      <c r="J47" s="323">
        <v>12900532.880000003</v>
      </c>
      <c r="K47" s="183">
        <v>20</v>
      </c>
      <c r="L47" s="183"/>
      <c r="M47" s="183">
        <v>444400</v>
      </c>
      <c r="N47" s="183">
        <v>956</v>
      </c>
      <c r="O47" s="183">
        <f t="shared" si="7"/>
        <v>14069.496935146444</v>
      </c>
      <c r="P47" s="323">
        <v>13450439.07</v>
      </c>
      <c r="Q47" s="183">
        <v>27</v>
      </c>
      <c r="R47" s="183">
        <f t="shared" si="3"/>
        <v>21.32</v>
      </c>
      <c r="S47" s="1026">
        <f>VLOOKUP($C47,Assum!$B$11:$G$22,5,FALSE)*HLOOKUP($B47,Assum!$C$9:$G$10,2,FALSE)*S$55</f>
        <v>5.6800000000000015</v>
      </c>
      <c r="T47" s="183">
        <v>2087685</v>
      </c>
      <c r="U47" s="183">
        <v>4025</v>
      </c>
      <c r="V47" s="183">
        <f t="shared" si="6"/>
        <v>10387.532519254659</v>
      </c>
      <c r="W47" s="323">
        <v>41809818.390000001</v>
      </c>
      <c r="X47" s="183">
        <f>Y47+Z47</f>
        <v>77.112499999999983</v>
      </c>
      <c r="Y47" s="183">
        <f>SUM(R47:R50)+(Y$60*Assum!$C$38)</f>
        <v>71.082499999999982</v>
      </c>
      <c r="Z47" s="183">
        <f>S47+(Z$61*Assum!$C$28)</f>
        <v>6.0300000000000011</v>
      </c>
      <c r="AA47" s="281"/>
      <c r="AB47" s="281"/>
      <c r="AC47" s="281"/>
      <c r="AD47" s="323">
        <f>$BB47*($BI$7)</f>
        <v>71499105.456</v>
      </c>
      <c r="AE47" s="183">
        <f>AF47+AG47</f>
        <v>82.737499999999983</v>
      </c>
      <c r="AF47" s="183">
        <f>Y47+(AF$60*Assum!$D$38)</f>
        <v>76.332499999999982</v>
      </c>
      <c r="AG47" s="183">
        <f>Z47+(AG$61*Assum!$D$28)</f>
        <v>6.4050000000000011</v>
      </c>
      <c r="AH47" s="281"/>
      <c r="AI47" s="281"/>
      <c r="AJ47" s="281"/>
      <c r="AK47" s="323">
        <f>$BC47*($BJ$7)</f>
        <v>93842575.910999984</v>
      </c>
      <c r="AL47" s="183">
        <f>AM47+AN47</f>
        <v>88.937499999999986</v>
      </c>
      <c r="AM47" s="183">
        <f>AF47+(AM$60*Assum!$E$38)</f>
        <v>82.107499999999987</v>
      </c>
      <c r="AN47" s="183">
        <f>AG47+(AN$61*Assum!$E$28)</f>
        <v>6.830000000000001</v>
      </c>
      <c r="AO47" s="281"/>
      <c r="AP47" s="281"/>
      <c r="AQ47" s="281"/>
      <c r="AR47" s="323">
        <f>$BD47*($BK$7)</f>
        <v>144785688.54839998</v>
      </c>
      <c r="AS47" s="183">
        <f>AT47+AU47</f>
        <v>95.75</v>
      </c>
      <c r="AT47" s="183">
        <f>AM47+(AT$60*Assum!$F$38)</f>
        <v>88.444999999999993</v>
      </c>
      <c r="AU47" s="183">
        <f>AN47+(AU$61*Assum!$E$28)</f>
        <v>7.3050000000000006</v>
      </c>
      <c r="AV47" s="183"/>
      <c r="AW47" s="183"/>
      <c r="AX47" s="183"/>
      <c r="AY47" s="323">
        <f>$BE47*($BL$7)</f>
        <v>205113058.77689996</v>
      </c>
      <c r="AZ47" s="68"/>
      <c r="BA47" s="1040">
        <f>SUM(W47:W50)</f>
        <v>44686940.909999996</v>
      </c>
      <c r="BB47" s="1037">
        <f>BA47*(1+Assum!C$52)</f>
        <v>89373881.819999993</v>
      </c>
      <c r="BC47" s="1037">
        <f>BB47*(1+Assum!D$52)</f>
        <v>134060822.72999999</v>
      </c>
      <c r="BD47" s="1037">
        <f>BC47*(1+Assum!E$52)</f>
        <v>241309480.91399997</v>
      </c>
      <c r="BE47" s="1037">
        <f>BD47*(1+Assum!F$52)</f>
        <v>410226117.55379993</v>
      </c>
    </row>
    <row r="48" spans="1:57">
      <c r="B48" s="303" t="s">
        <v>107</v>
      </c>
      <c r="C48" s="312" t="s">
        <v>307</v>
      </c>
      <c r="D48" s="68" t="s">
        <v>295</v>
      </c>
      <c r="E48" s="290">
        <v>2</v>
      </c>
      <c r="F48" s="157"/>
      <c r="G48" s="157"/>
      <c r="H48" s="157">
        <v>11</v>
      </c>
      <c r="I48" s="158">
        <f t="shared" si="5"/>
        <v>2262.7900000000004</v>
      </c>
      <c r="J48" s="321">
        <v>24890.690000000006</v>
      </c>
      <c r="K48" s="158">
        <v>5</v>
      </c>
      <c r="L48" s="158"/>
      <c r="M48" s="158"/>
      <c r="N48" s="158">
        <v>13</v>
      </c>
      <c r="O48" s="158">
        <f t="shared" si="7"/>
        <v>11269.556923076925</v>
      </c>
      <c r="P48" s="321">
        <v>146504.24000000002</v>
      </c>
      <c r="Q48" s="158">
        <v>5</v>
      </c>
      <c r="R48" s="248">
        <f t="shared" si="3"/>
        <v>5</v>
      </c>
      <c r="S48" s="1030"/>
      <c r="T48" s="158"/>
      <c r="U48" s="158">
        <v>6</v>
      </c>
      <c r="V48" s="158">
        <f t="shared" si="6"/>
        <v>112100.98999999999</v>
      </c>
      <c r="W48" s="321">
        <v>672605.94</v>
      </c>
      <c r="X48" s="248"/>
      <c r="Y48" s="248"/>
      <c r="Z48" s="248"/>
      <c r="AA48" s="68"/>
      <c r="AB48" s="68"/>
      <c r="AC48" s="68"/>
      <c r="AD48" s="321">
        <f>$BB47*($BI$8)</f>
        <v>5958258.7879999978</v>
      </c>
      <c r="AE48" s="248"/>
      <c r="AF48" s="248"/>
      <c r="AG48" s="248"/>
      <c r="AH48" s="68"/>
      <c r="AI48" s="68"/>
      <c r="AJ48" s="68"/>
      <c r="AK48" s="321">
        <f>$BC47*($BJ$8)</f>
        <v>13406082.273000002</v>
      </c>
      <c r="AL48" s="248"/>
      <c r="AM48" s="248"/>
      <c r="AN48" s="248"/>
      <c r="AO48" s="68"/>
      <c r="AP48" s="68"/>
      <c r="AQ48" s="68"/>
      <c r="AR48" s="321">
        <f>$BD47*($BK$8)</f>
        <v>32174597.455199998</v>
      </c>
      <c r="AS48" s="248"/>
      <c r="AT48" s="248"/>
      <c r="AU48" s="248"/>
      <c r="AV48" s="248"/>
      <c r="AW48" s="248"/>
      <c r="AX48" s="248"/>
      <c r="AY48" s="321">
        <f>$BE47*($BL$8)</f>
        <v>68371019.592299983</v>
      </c>
      <c r="AZ48" s="68"/>
      <c r="BA48" s="1041"/>
      <c r="BB48" s="1038"/>
      <c r="BC48" s="1038"/>
      <c r="BD48" s="1038"/>
      <c r="BE48" s="1038"/>
    </row>
    <row r="49" spans="1:57">
      <c r="B49" s="303" t="s">
        <v>107</v>
      </c>
      <c r="C49" s="312" t="s">
        <v>307</v>
      </c>
      <c r="D49" s="68" t="s">
        <v>296</v>
      </c>
      <c r="E49" s="290">
        <v>5</v>
      </c>
      <c r="F49" s="157"/>
      <c r="G49" s="157"/>
      <c r="H49" s="157">
        <v>31</v>
      </c>
      <c r="I49" s="157">
        <f t="shared" si="5"/>
        <v>6646.6122580645151</v>
      </c>
      <c r="J49" s="321">
        <v>206044.97999999998</v>
      </c>
      <c r="K49" s="158">
        <v>8</v>
      </c>
      <c r="L49" s="158"/>
      <c r="M49" s="158"/>
      <c r="N49" s="158">
        <v>16</v>
      </c>
      <c r="O49" s="158">
        <f t="shared" si="7"/>
        <v>42020.088749999995</v>
      </c>
      <c r="P49" s="321">
        <v>672321.41999999993</v>
      </c>
      <c r="Q49" s="158">
        <v>14</v>
      </c>
      <c r="R49" s="248">
        <f t="shared" si="3"/>
        <v>14</v>
      </c>
      <c r="S49" s="1030"/>
      <c r="T49" s="158"/>
      <c r="U49" s="158">
        <v>49</v>
      </c>
      <c r="V49" s="158">
        <f t="shared" si="6"/>
        <v>39514.704081632641</v>
      </c>
      <c r="W49" s="321">
        <v>1936220.4999999993</v>
      </c>
      <c r="X49" s="248"/>
      <c r="Y49" s="248"/>
      <c r="Z49" s="248"/>
      <c r="AA49" s="68"/>
      <c r="AB49" s="68"/>
      <c r="AC49" s="68"/>
      <c r="AD49" s="321">
        <f>$BB47*($BI$9)</f>
        <v>5958258.7879999978</v>
      </c>
      <c r="AE49" s="248"/>
      <c r="AF49" s="248"/>
      <c r="AG49" s="248"/>
      <c r="AH49" s="68"/>
      <c r="AI49" s="68"/>
      <c r="AJ49" s="68"/>
      <c r="AK49" s="321">
        <f>$BC47*($BJ$9)</f>
        <v>13406082.273000002</v>
      </c>
      <c r="AL49" s="248"/>
      <c r="AM49" s="248"/>
      <c r="AN49" s="248"/>
      <c r="AO49" s="68"/>
      <c r="AP49" s="68"/>
      <c r="AQ49" s="68"/>
      <c r="AR49" s="321">
        <f>$BD47*($BK$9)</f>
        <v>32174597.455199998</v>
      </c>
      <c r="AS49" s="248"/>
      <c r="AT49" s="248"/>
      <c r="AU49" s="248"/>
      <c r="AV49" s="248"/>
      <c r="AW49" s="248"/>
      <c r="AX49" s="248"/>
      <c r="AY49" s="321">
        <f>$BE47*($BL$9)</f>
        <v>68371019.592299983</v>
      </c>
      <c r="AZ49" s="68"/>
      <c r="BA49" s="1041"/>
      <c r="BB49" s="1038"/>
      <c r="BC49" s="1038"/>
      <c r="BD49" s="1038"/>
      <c r="BE49" s="1038"/>
    </row>
    <row r="50" spans="1:57">
      <c r="B50" s="305" t="s">
        <v>107</v>
      </c>
      <c r="C50" s="313" t="s">
        <v>307</v>
      </c>
      <c r="D50" s="307" t="s">
        <v>297</v>
      </c>
      <c r="E50" s="308">
        <v>22</v>
      </c>
      <c r="F50" s="309"/>
      <c r="G50" s="309"/>
      <c r="H50" s="309">
        <v>6129</v>
      </c>
      <c r="I50" s="310">
        <f t="shared" si="5"/>
        <v>208.23941589166253</v>
      </c>
      <c r="J50" s="322">
        <v>1276299.3799999997</v>
      </c>
      <c r="K50" s="310">
        <v>33</v>
      </c>
      <c r="L50" s="310"/>
      <c r="M50" s="310"/>
      <c r="N50" s="310">
        <v>6634</v>
      </c>
      <c r="O50" s="310">
        <f t="shared" si="7"/>
        <v>195.24678474525194</v>
      </c>
      <c r="P50" s="322">
        <v>1295267.1700000013</v>
      </c>
      <c r="Q50" s="310">
        <v>26</v>
      </c>
      <c r="R50" s="310">
        <f t="shared" si="3"/>
        <v>26</v>
      </c>
      <c r="S50" s="1025"/>
      <c r="T50" s="310"/>
      <c r="U50" s="310">
        <v>2740</v>
      </c>
      <c r="V50" s="310">
        <f t="shared" si="6"/>
        <v>97.918277372262736</v>
      </c>
      <c r="W50" s="322">
        <v>268296.0799999999</v>
      </c>
      <c r="X50" s="310"/>
      <c r="Y50" s="310"/>
      <c r="Z50" s="310"/>
      <c r="AA50" s="307"/>
      <c r="AB50" s="307"/>
      <c r="AC50" s="307"/>
      <c r="AD50" s="322">
        <f>$BB47*($BI$10)</f>
        <v>5958258.7879999978</v>
      </c>
      <c r="AE50" s="310"/>
      <c r="AF50" s="310"/>
      <c r="AG50" s="310"/>
      <c r="AH50" s="307"/>
      <c r="AI50" s="307"/>
      <c r="AJ50" s="307"/>
      <c r="AK50" s="322">
        <f>$BC47*($BJ$10)</f>
        <v>13406082.273000002</v>
      </c>
      <c r="AL50" s="310"/>
      <c r="AM50" s="310"/>
      <c r="AN50" s="310"/>
      <c r="AO50" s="307"/>
      <c r="AP50" s="307"/>
      <c r="AQ50" s="307"/>
      <c r="AR50" s="322">
        <f>$BD47*($BK$10)</f>
        <v>32174597.455199998</v>
      </c>
      <c r="AS50" s="310"/>
      <c r="AT50" s="310"/>
      <c r="AU50" s="310"/>
      <c r="AV50" s="310"/>
      <c r="AW50" s="310"/>
      <c r="AX50" s="310"/>
      <c r="AY50" s="322">
        <f>$BE47*($BL$10)</f>
        <v>68371019.592299983</v>
      </c>
      <c r="AZ50" s="68"/>
      <c r="BA50" s="1042"/>
      <c r="BB50" s="1039"/>
      <c r="BC50" s="1039"/>
      <c r="BD50" s="1039"/>
      <c r="BE50" s="1039"/>
    </row>
    <row r="51" spans="1:57">
      <c r="A51" s="161"/>
      <c r="B51" s="162" t="s">
        <v>107</v>
      </c>
      <c r="C51" s="161" t="s">
        <v>308</v>
      </c>
      <c r="D51" s="162" t="s">
        <v>294</v>
      </c>
      <c r="E51" s="292">
        <v>48</v>
      </c>
      <c r="F51" s="163"/>
      <c r="G51" s="163">
        <v>816990</v>
      </c>
      <c r="H51" s="163">
        <v>2878</v>
      </c>
      <c r="I51" s="436">
        <f t="shared" si="5"/>
        <v>8145.388634468387</v>
      </c>
      <c r="J51" s="321">
        <v>23442428.490000017</v>
      </c>
      <c r="K51" s="164">
        <v>43</v>
      </c>
      <c r="L51" s="164"/>
      <c r="M51" s="164">
        <v>352475</v>
      </c>
      <c r="N51" s="164">
        <v>1098</v>
      </c>
      <c r="O51" s="436">
        <f t="shared" si="7"/>
        <v>10903.439571949</v>
      </c>
      <c r="P51" s="321">
        <v>11971976.650000002</v>
      </c>
      <c r="Q51" s="164">
        <v>56</v>
      </c>
      <c r="R51" s="286">
        <f t="shared" si="3"/>
        <v>53.16</v>
      </c>
      <c r="S51" s="1027">
        <f>VLOOKUP($C51,Assum!$B$11:$G$22,5,FALSE)*HLOOKUP($B51,Assum!$C$9:$G$10,2,FALSE)*S$55</f>
        <v>2.8400000000000007</v>
      </c>
      <c r="T51" s="164">
        <v>1989205</v>
      </c>
      <c r="U51" s="164">
        <v>4581</v>
      </c>
      <c r="V51" s="164">
        <f t="shared" si="6"/>
        <v>9289.5221480026212</v>
      </c>
      <c r="W51" s="321">
        <v>42555300.960000008</v>
      </c>
      <c r="X51" s="286">
        <f>Y51+Z51</f>
        <v>146.02499999999998</v>
      </c>
      <c r="Y51" s="286">
        <f>SUM(R51:R54)+(Y$60*Assum!$C$37)</f>
        <v>140.38499999999996</v>
      </c>
      <c r="Z51" s="286">
        <f>S51+(Z$61*Assum!$C$27)</f>
        <v>5.6400000000000006</v>
      </c>
      <c r="AA51" s="162"/>
      <c r="AB51" s="162"/>
      <c r="AC51" s="162"/>
      <c r="AD51" s="321">
        <f>$BB51*($BI$7)</f>
        <v>59440416.459600009</v>
      </c>
      <c r="AE51" s="286">
        <f>AF51+AG51</f>
        <v>173.52499999999998</v>
      </c>
      <c r="AF51" s="286">
        <f>Y51+(AF$60*Assum!$D$37)</f>
        <v>164.88499999999996</v>
      </c>
      <c r="AG51" s="286">
        <f>Z51+(AG$61*Assum!$D$27)</f>
        <v>8.64</v>
      </c>
      <c r="AH51" s="162"/>
      <c r="AI51" s="162"/>
      <c r="AJ51" s="162"/>
      <c r="AK51" s="321">
        <f>$BC51*($BJ$7)</f>
        <v>93618655.923870012</v>
      </c>
      <c r="AL51" s="286">
        <f>AM51+AN51</f>
        <v>203.87499999999994</v>
      </c>
      <c r="AM51" s="286">
        <f>AF51+(AM$60*Assum!$E$37)</f>
        <v>191.83499999999995</v>
      </c>
      <c r="AN51" s="286">
        <f>AG51+(AN$61*Assum!$E$27)</f>
        <v>12.040000000000001</v>
      </c>
      <c r="AO51" s="162"/>
      <c r="AP51" s="162"/>
      <c r="AQ51" s="162"/>
      <c r="AR51" s="321">
        <f>$BD51*($BK$7)</f>
        <v>144440211.99682802</v>
      </c>
      <c r="AS51" s="286">
        <f>AT51+AU51</f>
        <v>237.24999999999994</v>
      </c>
      <c r="AT51" s="286">
        <f>SUM(AM51:AM54)+(AT$60*Assum!$F$37)</f>
        <v>221.40999999999994</v>
      </c>
      <c r="AU51" s="286">
        <f>AN51+(AU$61*Assum!$E$27)</f>
        <v>15.840000000000002</v>
      </c>
      <c r="AV51" s="286"/>
      <c r="AW51" s="286"/>
      <c r="AX51" s="286"/>
      <c r="AY51" s="321">
        <f>$BE51*($BL$7)</f>
        <v>216660317.99524206</v>
      </c>
      <c r="AZ51" s="68"/>
      <c r="BA51" s="1040">
        <f>SUM(W51:W54)</f>
        <v>45030618.530000009</v>
      </c>
      <c r="BB51" s="1040">
        <f>BA51*(1+Assum!C$53)</f>
        <v>74300520.574500009</v>
      </c>
      <c r="BC51" s="1040">
        <f>BB51*(1+Assum!D$53)</f>
        <v>133740937.03410003</v>
      </c>
      <c r="BD51" s="1040">
        <f>BC51*(1+Assum!E$53)</f>
        <v>240733686.66138005</v>
      </c>
      <c r="BE51" s="1040">
        <f>BD51*(1+Assum!F$53)</f>
        <v>433320635.99048412</v>
      </c>
    </row>
    <row r="52" spans="1:57">
      <c r="A52" s="161"/>
      <c r="B52" s="165" t="s">
        <v>107</v>
      </c>
      <c r="C52" s="170" t="s">
        <v>308</v>
      </c>
      <c r="D52" s="162" t="s">
        <v>295</v>
      </c>
      <c r="E52" s="292">
        <v>15</v>
      </c>
      <c r="F52" s="163"/>
      <c r="G52" s="163"/>
      <c r="H52" s="163">
        <v>43</v>
      </c>
      <c r="I52" s="164">
        <f t="shared" si="5"/>
        <v>10230.134883720928</v>
      </c>
      <c r="J52" s="321">
        <v>439895.79999999987</v>
      </c>
      <c r="K52" s="164">
        <v>11</v>
      </c>
      <c r="L52" s="164"/>
      <c r="M52" s="164"/>
      <c r="N52" s="164">
        <v>29</v>
      </c>
      <c r="O52" s="164">
        <f t="shared" si="7"/>
        <v>11899.041724137929</v>
      </c>
      <c r="P52" s="321">
        <v>345072.20999999996</v>
      </c>
      <c r="Q52" s="164">
        <v>6</v>
      </c>
      <c r="R52" s="286">
        <f t="shared" si="3"/>
        <v>6</v>
      </c>
      <c r="S52" s="1028"/>
      <c r="T52" s="164"/>
      <c r="U52" s="164">
        <v>8</v>
      </c>
      <c r="V52" s="164">
        <f t="shared" si="6"/>
        <v>59313.135000000002</v>
      </c>
      <c r="W52" s="321">
        <v>474505.08</v>
      </c>
      <c r="X52" s="286"/>
      <c r="Y52" s="286"/>
      <c r="Z52" s="286"/>
      <c r="AA52" s="162"/>
      <c r="AB52" s="162"/>
      <c r="AC52" s="162"/>
      <c r="AD52" s="321">
        <f>$BB51*($BI$8)</f>
        <v>4953368.0382999992</v>
      </c>
      <c r="AE52" s="286"/>
      <c r="AF52" s="286"/>
      <c r="AG52" s="286"/>
      <c r="AH52" s="162"/>
      <c r="AI52" s="162"/>
      <c r="AJ52" s="162"/>
      <c r="AK52" s="321">
        <f>$BC51*($BJ$8)</f>
        <v>13374093.703410005</v>
      </c>
      <c r="AL52" s="286"/>
      <c r="AM52" s="286"/>
      <c r="AN52" s="286"/>
      <c r="AO52" s="162"/>
      <c r="AP52" s="162"/>
      <c r="AQ52" s="162"/>
      <c r="AR52" s="321">
        <f>$BD51*($BK$8)</f>
        <v>32097824.888184007</v>
      </c>
      <c r="AS52" s="286"/>
      <c r="AT52" s="286"/>
      <c r="AU52" s="286"/>
      <c r="AV52" s="286"/>
      <c r="AW52" s="286"/>
      <c r="AX52" s="286"/>
      <c r="AY52" s="321">
        <f>$BE51*($BL$8)</f>
        <v>72220105.99841401</v>
      </c>
      <c r="AZ52" s="68"/>
      <c r="BA52" s="1041"/>
      <c r="BB52" s="1041"/>
      <c r="BC52" s="1041"/>
      <c r="BD52" s="1041"/>
      <c r="BE52" s="1041"/>
    </row>
    <row r="53" spans="1:57">
      <c r="A53" s="161"/>
      <c r="B53" s="165" t="s">
        <v>107</v>
      </c>
      <c r="C53" s="170" t="s">
        <v>308</v>
      </c>
      <c r="D53" s="162" t="s">
        <v>296</v>
      </c>
      <c r="E53" s="292">
        <v>10</v>
      </c>
      <c r="F53" s="163"/>
      <c r="G53" s="163"/>
      <c r="H53" s="163">
        <v>54</v>
      </c>
      <c r="I53" s="164">
        <f t="shared" si="5"/>
        <v>12525.259629629631</v>
      </c>
      <c r="J53" s="321">
        <v>676364.02</v>
      </c>
      <c r="K53" s="164">
        <v>6</v>
      </c>
      <c r="L53" s="164"/>
      <c r="M53" s="164"/>
      <c r="N53" s="164">
        <v>10</v>
      </c>
      <c r="O53" s="164">
        <f t="shared" si="7"/>
        <v>52409.985999999997</v>
      </c>
      <c r="P53" s="321">
        <v>524099.86</v>
      </c>
      <c r="Q53" s="164">
        <v>6</v>
      </c>
      <c r="R53" s="286">
        <f t="shared" si="3"/>
        <v>6</v>
      </c>
      <c r="S53" s="1028"/>
      <c r="T53" s="164"/>
      <c r="U53" s="164">
        <v>6</v>
      </c>
      <c r="V53" s="164">
        <f t="shared" si="6"/>
        <v>31834.048333333336</v>
      </c>
      <c r="W53" s="321">
        <v>191004.29</v>
      </c>
      <c r="X53" s="286"/>
      <c r="Y53" s="286"/>
      <c r="Z53" s="286"/>
      <c r="AA53" s="162"/>
      <c r="AB53" s="162"/>
      <c r="AC53" s="162"/>
      <c r="AD53" s="321">
        <f>$BB51*($BI$9)</f>
        <v>4953368.0382999992</v>
      </c>
      <c r="AE53" s="286"/>
      <c r="AF53" s="286"/>
      <c r="AG53" s="286"/>
      <c r="AH53" s="162"/>
      <c r="AI53" s="162"/>
      <c r="AJ53" s="162"/>
      <c r="AK53" s="321">
        <f>$BC51*($BJ$9)</f>
        <v>13374093.703410005</v>
      </c>
      <c r="AL53" s="286"/>
      <c r="AM53" s="286"/>
      <c r="AN53" s="286"/>
      <c r="AO53" s="162"/>
      <c r="AP53" s="162"/>
      <c r="AQ53" s="162"/>
      <c r="AR53" s="321">
        <f>$BD51*($BK$9)</f>
        <v>32097824.888184007</v>
      </c>
      <c r="AS53" s="286"/>
      <c r="AT53" s="286"/>
      <c r="AU53" s="286"/>
      <c r="AV53" s="286"/>
      <c r="AW53" s="286"/>
      <c r="AX53" s="286"/>
      <c r="AY53" s="321">
        <f>$BE51*($BL$9)</f>
        <v>72220105.99841401</v>
      </c>
      <c r="AZ53" s="68"/>
      <c r="BA53" s="1041"/>
      <c r="BB53" s="1041"/>
      <c r="BC53" s="1041"/>
      <c r="BD53" s="1041"/>
      <c r="BE53" s="1041"/>
    </row>
    <row r="54" spans="1:57">
      <c r="A54" s="161"/>
      <c r="B54" s="184" t="s">
        <v>107</v>
      </c>
      <c r="C54" s="185" t="s">
        <v>308</v>
      </c>
      <c r="D54" s="186" t="s">
        <v>297</v>
      </c>
      <c r="E54" s="293">
        <v>69</v>
      </c>
      <c r="F54" s="187"/>
      <c r="G54" s="187"/>
      <c r="H54" s="187">
        <v>15732</v>
      </c>
      <c r="I54" s="188">
        <f t="shared" si="5"/>
        <v>300.7056064073227</v>
      </c>
      <c r="J54" s="322">
        <v>4730700.6000000006</v>
      </c>
      <c r="K54" s="188">
        <v>60</v>
      </c>
      <c r="L54" s="188"/>
      <c r="M54" s="188"/>
      <c r="N54" s="188">
        <v>7083</v>
      </c>
      <c r="O54" s="188">
        <f t="shared" si="7"/>
        <v>588.71812508823962</v>
      </c>
      <c r="P54" s="322">
        <v>4169890.4800000009</v>
      </c>
      <c r="Q54" s="188">
        <v>53</v>
      </c>
      <c r="R54" s="188">
        <f t="shared" si="3"/>
        <v>53</v>
      </c>
      <c r="S54" s="1029"/>
      <c r="T54" s="188"/>
      <c r="U54" s="188">
        <v>4403</v>
      </c>
      <c r="V54" s="188">
        <f t="shared" si="6"/>
        <v>411.03979105155565</v>
      </c>
      <c r="W54" s="322">
        <v>1809808.1999999995</v>
      </c>
      <c r="X54" s="188"/>
      <c r="Y54" s="188"/>
      <c r="Z54" s="188"/>
      <c r="AA54" s="186"/>
      <c r="AB54" s="186"/>
      <c r="AC54" s="186"/>
      <c r="AD54" s="322">
        <f>$BB51*($BI$10)</f>
        <v>4953368.0382999992</v>
      </c>
      <c r="AE54" s="188"/>
      <c r="AF54" s="188"/>
      <c r="AG54" s="188"/>
      <c r="AH54" s="186"/>
      <c r="AI54" s="186"/>
      <c r="AJ54" s="186"/>
      <c r="AK54" s="322">
        <f>$BC51*($BJ$10)</f>
        <v>13374093.703410005</v>
      </c>
      <c r="AL54" s="188"/>
      <c r="AM54" s="188"/>
      <c r="AN54" s="188"/>
      <c r="AO54" s="186"/>
      <c r="AP54" s="186"/>
      <c r="AQ54" s="186"/>
      <c r="AR54" s="322">
        <f>$BD51*($BK$10)</f>
        <v>32097824.888184007</v>
      </c>
      <c r="AS54" s="188"/>
      <c r="AT54" s="188"/>
      <c r="AU54" s="188"/>
      <c r="AV54" s="188"/>
      <c r="AW54" s="188"/>
      <c r="AX54" s="188"/>
      <c r="AY54" s="322">
        <f>$BE51*($BL$10)</f>
        <v>72220105.99841401</v>
      </c>
      <c r="AZ54" s="68"/>
      <c r="BA54" s="1042"/>
      <c r="BB54" s="1042"/>
      <c r="BC54" s="1042"/>
      <c r="BD54" s="1042"/>
      <c r="BE54" s="1042"/>
    </row>
    <row r="55" spans="1:57" ht="22.5" customHeight="1" thickBot="1">
      <c r="B55" s="980" t="s">
        <v>299</v>
      </c>
      <c r="C55" s="481"/>
      <c r="D55" s="980"/>
      <c r="E55" s="981">
        <f>SUM(E7:E54)</f>
        <v>1243</v>
      </c>
      <c r="F55" s="982"/>
      <c r="G55" s="983">
        <f>SUM(G7:G54)</f>
        <v>11677230</v>
      </c>
      <c r="H55" s="983">
        <f>SUM(H7:H54)</f>
        <v>180285</v>
      </c>
      <c r="I55" s="982"/>
      <c r="J55" s="984">
        <f>SUM(J7:J54)</f>
        <v>364811363.77999985</v>
      </c>
      <c r="K55" s="983">
        <f>SUM(K7:K54)</f>
        <v>1094</v>
      </c>
      <c r="L55" s="982"/>
      <c r="M55" s="983">
        <f>SUM(M7:M54)</f>
        <v>11017185</v>
      </c>
      <c r="N55" s="983">
        <f>SUM(N7:N54)</f>
        <v>89855</v>
      </c>
      <c r="O55" s="985"/>
      <c r="P55" s="984">
        <f>SUM(P7:P54)</f>
        <v>376390830.32999998</v>
      </c>
      <c r="Q55" s="983">
        <f>SUM(Q7:Q54)</f>
        <v>1412</v>
      </c>
      <c r="R55" s="983">
        <f>SUM(R7:R54)</f>
        <v>1270.0000000000002</v>
      </c>
      <c r="S55" s="983">
        <f>Assum!C4</f>
        <v>142</v>
      </c>
      <c r="T55" s="985">
        <f>SUM(T7:T54)</f>
        <v>66770700</v>
      </c>
      <c r="U55" s="983">
        <f>SUM(U7:U54)</f>
        <v>157994</v>
      </c>
      <c r="V55" s="983">
        <f>SUM(V7:V54)</f>
        <v>1348093.4095074497</v>
      </c>
      <c r="W55" s="984">
        <f>SUM(W7:W54)</f>
        <v>1343810637.2899997</v>
      </c>
      <c r="X55" s="983">
        <f>Assum!D32</f>
        <v>1553</v>
      </c>
      <c r="Y55" s="983">
        <f>X55-Z55</f>
        <v>1397</v>
      </c>
      <c r="Z55" s="983">
        <f>Assum!D4</f>
        <v>156</v>
      </c>
      <c r="AA55" s="983">
        <f>SUM(AA7:AA54)</f>
        <v>0</v>
      </c>
      <c r="AB55" s="983">
        <f>SUM(AB7:AB54)</f>
        <v>0</v>
      </c>
      <c r="AC55" s="983">
        <f>SUM(AC7:AC54)</f>
        <v>0</v>
      </c>
      <c r="AD55" s="984">
        <f>SUM(AD7:AD54)</f>
        <v>2765039922.5573997</v>
      </c>
      <c r="AE55" s="983">
        <f>Assum!E32</f>
        <v>1708</v>
      </c>
      <c r="AF55" s="983">
        <f>AE55-AG55</f>
        <v>1537</v>
      </c>
      <c r="AG55" s="983">
        <f>Assum!E4</f>
        <v>171</v>
      </c>
      <c r="AH55" s="983">
        <f>SUM(AH7:AH54)</f>
        <v>0</v>
      </c>
      <c r="AI55" s="983">
        <f>SUM(AI7:AI54)</f>
        <v>0</v>
      </c>
      <c r="AJ55" s="983">
        <f>SUM(AJ7:AJ54)</f>
        <v>0</v>
      </c>
      <c r="AK55" s="984">
        <f>SUM(AK7:AK54)</f>
        <v>4076824812.0116482</v>
      </c>
      <c r="AL55" s="983">
        <f>Assum!F32</f>
        <v>1879</v>
      </c>
      <c r="AM55" s="983">
        <f>AL55-AN55</f>
        <v>1691</v>
      </c>
      <c r="AN55" s="983">
        <f>Assum!F4</f>
        <v>188</v>
      </c>
      <c r="AO55" s="983">
        <f>SUM(AO7:AO54)</f>
        <v>0</v>
      </c>
      <c r="AP55" s="983">
        <f>SUM(AP7:AP54)</f>
        <v>0</v>
      </c>
      <c r="AQ55" s="983">
        <f>SUM(AQ7:AQ54)</f>
        <v>0</v>
      </c>
      <c r="AR55" s="984">
        <f>SUM(AR7:AR54)</f>
        <v>6110669593.0321827</v>
      </c>
      <c r="AS55" s="983">
        <f>Assum!G32</f>
        <v>2067</v>
      </c>
      <c r="AT55" s="983">
        <f>AS55-AU55</f>
        <v>1860</v>
      </c>
      <c r="AU55" s="983">
        <f>Assum!G4</f>
        <v>207</v>
      </c>
      <c r="AV55" s="985">
        <f>SUM(AV7:AV54)</f>
        <v>0</v>
      </c>
      <c r="AW55" s="983">
        <f>SUM(AW7:AW54)</f>
        <v>0</v>
      </c>
      <c r="AX55" s="983">
        <f>SUM(AX7:AX54)</f>
        <v>0</v>
      </c>
      <c r="AY55" s="984">
        <f>SUM(AY7:AY54)</f>
        <v>8915888486.9308167</v>
      </c>
      <c r="AZ55" s="280"/>
      <c r="BA55" s="647">
        <f>SUM(BA7:BA54)</f>
        <v>1343810637.29</v>
      </c>
      <c r="BB55" s="647">
        <f>SUM(BB7:BB54)</f>
        <v>2765039922.5574007</v>
      </c>
      <c r="BC55" s="647">
        <f>SUM(BC7:BC54)</f>
        <v>4076824812.0116501</v>
      </c>
      <c r="BD55" s="647">
        <f>SUM(BD7:BD54)</f>
        <v>6110669593.0321846</v>
      </c>
      <c r="BE55" s="648">
        <f>SUM(BE7:BE54)</f>
        <v>8915888486.9308167</v>
      </c>
    </row>
    <row r="56" spans="1:57" ht="22.5" customHeight="1" thickTop="1">
      <c r="E56" s="158"/>
      <c r="F56" s="157"/>
      <c r="G56" s="158"/>
      <c r="H56" s="158"/>
      <c r="I56" s="157"/>
      <c r="J56" s="158"/>
      <c r="K56" s="158"/>
      <c r="L56" s="157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68"/>
      <c r="BA56" s="979"/>
      <c r="BB56" s="979"/>
      <c r="BC56" s="979"/>
      <c r="BD56" s="979"/>
      <c r="BE56" s="979"/>
    </row>
    <row r="57" spans="1:57" ht="75.75" customHeight="1">
      <c r="B57" s="1043" t="s">
        <v>692</v>
      </c>
      <c r="C57" s="1043"/>
      <c r="E57" s="158"/>
      <c r="F57" s="157"/>
      <c r="G57" s="158"/>
      <c r="H57" s="158"/>
      <c r="I57" s="157"/>
      <c r="J57" s="158"/>
      <c r="K57" s="158"/>
      <c r="L57" s="157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007">
        <f>'Manufacturing Setup '!C5*10^7</f>
        <v>150000000</v>
      </c>
      <c r="AE57" s="1007"/>
      <c r="AF57" s="1007"/>
      <c r="AG57" s="1007"/>
      <c r="AH57" s="1007"/>
      <c r="AI57" s="1007"/>
      <c r="AJ57" s="1007"/>
      <c r="AK57" s="1007">
        <f>'Manufacturing Setup '!D5*10^7</f>
        <v>1800000000</v>
      </c>
      <c r="AL57" s="1007"/>
      <c r="AM57" s="1007"/>
      <c r="AN57" s="1007"/>
      <c r="AO57" s="1007"/>
      <c r="AP57" s="1007"/>
      <c r="AQ57" s="1007"/>
      <c r="AR57" s="1007">
        <f>'Manufacturing Setup '!E5*10^7</f>
        <v>2250000000</v>
      </c>
      <c r="AS57" s="1007"/>
      <c r="AT57" s="1007"/>
      <c r="AU57" s="1007"/>
      <c r="AV57" s="1007"/>
      <c r="AW57" s="1007"/>
      <c r="AX57" s="1007"/>
      <c r="AY57" s="1007">
        <f>'Manufacturing Setup '!F5*10^7</f>
        <v>2550000000</v>
      </c>
      <c r="AZ57" s="68"/>
      <c r="BA57" s="979"/>
      <c r="BB57" s="979"/>
      <c r="BC57" s="979"/>
      <c r="BD57" s="979"/>
      <c r="BE57" s="979"/>
    </row>
    <row r="58" spans="1:57" ht="22.5" customHeight="1">
      <c r="E58" s="158"/>
      <c r="F58" s="157"/>
      <c r="G58" s="158"/>
      <c r="H58" s="158"/>
      <c r="I58" s="157"/>
      <c r="J58" s="158"/>
      <c r="K58" s="158"/>
      <c r="L58" s="157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68"/>
      <c r="BA58" s="979"/>
      <c r="BB58" s="979"/>
      <c r="BC58" s="979"/>
      <c r="BD58" s="979"/>
      <c r="BE58" s="979"/>
    </row>
    <row r="59" spans="1:57" ht="22.5" customHeight="1" thickBot="1">
      <c r="B59" s="91" t="s">
        <v>309</v>
      </c>
      <c r="C59" s="106"/>
      <c r="D59" s="91"/>
      <c r="E59" s="986">
        <f t="shared" ref="E59:AC59" si="8">E55</f>
        <v>1243</v>
      </c>
      <c r="F59" s="986">
        <f t="shared" si="8"/>
        <v>0</v>
      </c>
      <c r="G59" s="986">
        <f t="shared" si="8"/>
        <v>11677230</v>
      </c>
      <c r="H59" s="986">
        <f t="shared" si="8"/>
        <v>180285</v>
      </c>
      <c r="I59" s="986">
        <f t="shared" si="8"/>
        <v>0</v>
      </c>
      <c r="J59" s="986">
        <f t="shared" si="8"/>
        <v>364811363.77999985</v>
      </c>
      <c r="K59" s="986">
        <f t="shared" si="8"/>
        <v>1094</v>
      </c>
      <c r="L59" s="986">
        <f t="shared" si="8"/>
        <v>0</v>
      </c>
      <c r="M59" s="986">
        <f t="shared" si="8"/>
        <v>11017185</v>
      </c>
      <c r="N59" s="986">
        <f t="shared" si="8"/>
        <v>89855</v>
      </c>
      <c r="O59" s="986">
        <f t="shared" si="8"/>
        <v>0</v>
      </c>
      <c r="P59" s="986">
        <f t="shared" si="8"/>
        <v>376390830.32999998</v>
      </c>
      <c r="Q59" s="986">
        <f t="shared" si="8"/>
        <v>1412</v>
      </c>
      <c r="R59" s="986">
        <f t="shared" si="8"/>
        <v>1270.0000000000002</v>
      </c>
      <c r="S59" s="986">
        <f t="shared" si="8"/>
        <v>142</v>
      </c>
      <c r="T59" s="986">
        <f t="shared" si="8"/>
        <v>66770700</v>
      </c>
      <c r="U59" s="986">
        <f t="shared" si="8"/>
        <v>157994</v>
      </c>
      <c r="V59" s="986">
        <f t="shared" si="8"/>
        <v>1348093.4095074497</v>
      </c>
      <c r="W59" s="986">
        <f t="shared" si="8"/>
        <v>1343810637.2899997</v>
      </c>
      <c r="X59" s="986">
        <f t="shared" si="8"/>
        <v>1553</v>
      </c>
      <c r="Y59" s="986">
        <f t="shared" si="8"/>
        <v>1397</v>
      </c>
      <c r="Z59" s="986">
        <f t="shared" si="8"/>
        <v>156</v>
      </c>
      <c r="AA59" s="986">
        <f t="shared" si="8"/>
        <v>0</v>
      </c>
      <c r="AB59" s="986">
        <f t="shared" si="8"/>
        <v>0</v>
      </c>
      <c r="AC59" s="986">
        <f t="shared" si="8"/>
        <v>0</v>
      </c>
      <c r="AD59" s="986">
        <f>AD55</f>
        <v>2765039922.5573997</v>
      </c>
      <c r="AE59" s="986">
        <f t="shared" ref="AE59:AY59" si="9">AE55</f>
        <v>1708</v>
      </c>
      <c r="AF59" s="986">
        <f t="shared" si="9"/>
        <v>1537</v>
      </c>
      <c r="AG59" s="986">
        <f t="shared" si="9"/>
        <v>171</v>
      </c>
      <c r="AH59" s="986">
        <f t="shared" si="9"/>
        <v>0</v>
      </c>
      <c r="AI59" s="986">
        <f t="shared" si="9"/>
        <v>0</v>
      </c>
      <c r="AJ59" s="986">
        <f t="shared" si="9"/>
        <v>0</v>
      </c>
      <c r="AK59" s="986">
        <f t="shared" si="9"/>
        <v>4076824812.0116482</v>
      </c>
      <c r="AL59" s="986">
        <f t="shared" si="9"/>
        <v>1879</v>
      </c>
      <c r="AM59" s="986">
        <f t="shared" si="9"/>
        <v>1691</v>
      </c>
      <c r="AN59" s="986">
        <f t="shared" si="9"/>
        <v>188</v>
      </c>
      <c r="AO59" s="986">
        <f t="shared" si="9"/>
        <v>0</v>
      </c>
      <c r="AP59" s="986">
        <f t="shared" si="9"/>
        <v>0</v>
      </c>
      <c r="AQ59" s="986">
        <f t="shared" si="9"/>
        <v>0</v>
      </c>
      <c r="AR59" s="986">
        <f t="shared" si="9"/>
        <v>6110669593.0321827</v>
      </c>
      <c r="AS59" s="986">
        <f t="shared" si="9"/>
        <v>2067</v>
      </c>
      <c r="AT59" s="986">
        <f t="shared" si="9"/>
        <v>1860</v>
      </c>
      <c r="AU59" s="986">
        <f t="shared" si="9"/>
        <v>207</v>
      </c>
      <c r="AV59" s="986">
        <f t="shared" si="9"/>
        <v>0</v>
      </c>
      <c r="AW59" s="986">
        <f t="shared" si="9"/>
        <v>0</v>
      </c>
      <c r="AX59" s="986">
        <f t="shared" si="9"/>
        <v>0</v>
      </c>
      <c r="AY59" s="986">
        <f t="shared" si="9"/>
        <v>8915888486.9308167</v>
      </c>
      <c r="AZ59" s="68"/>
      <c r="BA59" s="979"/>
      <c r="BB59" s="979"/>
      <c r="BC59" s="979"/>
      <c r="BD59" s="979"/>
      <c r="BE59" s="979"/>
    </row>
    <row r="60" spans="1:57" ht="13" thickTop="1">
      <c r="B60" s="68" t="s">
        <v>310</v>
      </c>
      <c r="D60" s="369"/>
      <c r="E60" s="158"/>
      <c r="F60" s="157"/>
      <c r="G60" s="158"/>
      <c r="H60" s="158"/>
      <c r="I60" s="157"/>
      <c r="J60" s="158"/>
      <c r="K60" s="158"/>
      <c r="L60" s="157"/>
      <c r="M60" s="158"/>
      <c r="N60" s="158"/>
      <c r="O60" s="158"/>
      <c r="P60" s="158"/>
      <c r="Q60" s="158"/>
      <c r="R60" s="158"/>
      <c r="S60" s="157"/>
      <c r="T60" s="158"/>
      <c r="U60" s="158"/>
      <c r="V60" s="158"/>
      <c r="W60" s="158"/>
      <c r="X60" s="158"/>
      <c r="Y60" s="158">
        <f>Y55-R55</f>
        <v>126.99999999999977</v>
      </c>
      <c r="Z60" s="283"/>
      <c r="AA60" s="68"/>
      <c r="AB60" s="68"/>
      <c r="AC60" s="68"/>
      <c r="AD60" s="68"/>
      <c r="AE60" s="158"/>
      <c r="AF60" s="158">
        <f>AF55-Y55</f>
        <v>140</v>
      </c>
      <c r="AG60" s="283"/>
      <c r="AH60" s="68"/>
      <c r="AI60" s="68"/>
      <c r="AJ60" s="68"/>
      <c r="AK60" s="68"/>
      <c r="AL60" s="158"/>
      <c r="AM60" s="158">
        <f>AM55-AF55</f>
        <v>154</v>
      </c>
      <c r="AN60" s="283"/>
      <c r="AO60" s="68"/>
      <c r="AP60" s="68"/>
      <c r="AQ60" s="68"/>
      <c r="AR60" s="68"/>
      <c r="AS60" s="158"/>
      <c r="AT60" s="158">
        <f>AT55-AM55</f>
        <v>169</v>
      </c>
      <c r="AU60" s="283"/>
      <c r="AV60" s="68"/>
      <c r="AW60" s="68"/>
      <c r="AX60" s="68"/>
      <c r="AY60" s="68"/>
      <c r="AZ60" s="68"/>
      <c r="BA60" s="68"/>
      <c r="BB60" s="285">
        <f>(BB55-BA55)/BA55</f>
        <v>1.0576112778311737</v>
      </c>
      <c r="BC60" s="285">
        <f>(BC55-BB55)/BB55</f>
        <v>0.47441806490843441</v>
      </c>
      <c r="BD60" s="285">
        <f>(BD55-BC55)/BC55</f>
        <v>0.49887961215016335</v>
      </c>
      <c r="BE60" s="285">
        <f>(BE55-BD55)/BD55</f>
        <v>0.45906898600725199</v>
      </c>
    </row>
    <row r="61" spans="1:57">
      <c r="B61" s="68" t="s">
        <v>311</v>
      </c>
      <c r="D61" s="369"/>
      <c r="E61" s="158"/>
      <c r="F61" s="157"/>
      <c r="G61" s="158"/>
      <c r="H61" s="158"/>
      <c r="I61" s="157"/>
      <c r="J61" s="158"/>
      <c r="K61" s="158"/>
      <c r="L61" s="157"/>
      <c r="M61" s="158"/>
      <c r="N61" s="158"/>
      <c r="O61" s="158"/>
      <c r="P61" s="158"/>
      <c r="Q61" s="158"/>
      <c r="R61" s="158"/>
      <c r="S61" s="157"/>
      <c r="T61" s="158"/>
      <c r="U61" s="158"/>
      <c r="V61" s="158"/>
      <c r="W61" s="248"/>
      <c r="X61" s="158"/>
      <c r="Y61" s="158"/>
      <c r="Z61" s="283">
        <f>Z55-S55</f>
        <v>14</v>
      </c>
      <c r="AA61" s="68"/>
      <c r="AB61" s="68"/>
      <c r="AC61" s="68"/>
      <c r="AD61" s="68"/>
      <c r="AE61" s="158"/>
      <c r="AF61" s="158"/>
      <c r="AG61" s="283">
        <f>AG55-Z55</f>
        <v>15</v>
      </c>
      <c r="AH61" s="68"/>
      <c r="AI61" s="68"/>
      <c r="AJ61" s="68"/>
      <c r="AK61" s="68"/>
      <c r="AL61" s="158"/>
      <c r="AM61" s="158"/>
      <c r="AN61" s="283">
        <f>AN55-AG55</f>
        <v>17</v>
      </c>
      <c r="AO61" s="68"/>
      <c r="AP61" s="68"/>
      <c r="AQ61" s="68"/>
      <c r="AR61" s="68"/>
      <c r="AS61" s="158"/>
      <c r="AT61" s="158"/>
      <c r="AU61" s="283">
        <f>AU55-AN55</f>
        <v>19</v>
      </c>
      <c r="AV61" s="68"/>
      <c r="AW61" s="68"/>
      <c r="AX61" s="68"/>
      <c r="AY61" s="68"/>
      <c r="AZ61" s="68"/>
      <c r="BA61" s="68"/>
      <c r="BB61" s="283"/>
    </row>
    <row r="62" spans="1:57" s="273" customFormat="1" ht="15.5">
      <c r="B62" s="272" t="s">
        <v>245</v>
      </c>
      <c r="D62" s="372"/>
      <c r="E62" s="257"/>
      <c r="F62" s="258"/>
      <c r="G62" s="257"/>
      <c r="H62" s="257"/>
      <c r="I62" s="258"/>
      <c r="J62" s="257"/>
      <c r="K62" s="257"/>
      <c r="L62" s="258"/>
      <c r="M62" s="257"/>
      <c r="N62" s="257"/>
      <c r="O62" s="257"/>
      <c r="P62" s="257"/>
      <c r="Q62" s="257"/>
      <c r="R62" s="257"/>
      <c r="S62" s="258"/>
      <c r="T62" s="257"/>
      <c r="U62" s="257"/>
      <c r="V62" s="257"/>
      <c r="W62" s="373"/>
      <c r="X62" s="257"/>
      <c r="Y62" s="257">
        <f>SUM(Y6:Y54)-Y55</f>
        <v>0</v>
      </c>
      <c r="Z62" s="374">
        <f>SUM(Z7:Z54)-Z55</f>
        <v>0</v>
      </c>
      <c r="AA62" s="272"/>
      <c r="AB62" s="272"/>
      <c r="AC62" s="272"/>
      <c r="AD62" s="375">
        <f>AD55-BB55</f>
        <v>0</v>
      </c>
      <c r="AE62" s="257"/>
      <c r="AF62" s="257">
        <f>SUM(AF6:AF54)-AF55</f>
        <v>0</v>
      </c>
      <c r="AG62" s="374">
        <f>SUM(AG7:AG54)-AG55</f>
        <v>0</v>
      </c>
      <c r="AH62" s="272"/>
      <c r="AI62" s="272"/>
      <c r="AJ62" s="272"/>
      <c r="AK62" s="375">
        <f>AK55-BC55</f>
        <v>0</v>
      </c>
      <c r="AL62" s="257"/>
      <c r="AM62" s="257">
        <f>SUM(AM6:AM54)-AM55</f>
        <v>0</v>
      </c>
      <c r="AN62" s="374">
        <f>SUM(AN7:AN54)-AN55</f>
        <v>0</v>
      </c>
      <c r="AO62" s="272"/>
      <c r="AP62" s="272"/>
      <c r="AQ62" s="272"/>
      <c r="AR62" s="375">
        <f>AR55-BD55</f>
        <v>0</v>
      </c>
      <c r="AS62" s="257"/>
      <c r="AT62" s="257">
        <f>SUM(AT6:AT54)-AT55</f>
        <v>0</v>
      </c>
      <c r="AU62" s="374">
        <f>SUM(AU7:AU54)-AU55</f>
        <v>0</v>
      </c>
      <c r="AV62" s="272"/>
      <c r="AW62" s="272"/>
      <c r="AX62" s="272"/>
      <c r="AY62" s="375">
        <f>AY55-BE55</f>
        <v>0</v>
      </c>
      <c r="AZ62" s="272"/>
      <c r="BA62" s="272"/>
      <c r="BB62" s="272"/>
    </row>
    <row r="63" spans="1:57">
      <c r="D63" s="369"/>
      <c r="E63" s="158"/>
      <c r="F63" s="157"/>
      <c r="G63" s="158"/>
      <c r="H63" s="158"/>
      <c r="I63" s="157"/>
      <c r="J63" s="158"/>
      <c r="K63" s="158"/>
      <c r="L63" s="157"/>
      <c r="M63" s="158"/>
      <c r="N63" s="158"/>
      <c r="O63" s="158"/>
      <c r="P63" s="158"/>
      <c r="Q63" s="158"/>
      <c r="R63" s="158"/>
      <c r="S63" s="157"/>
      <c r="T63" s="158"/>
      <c r="U63" s="158"/>
      <c r="V63" s="158"/>
      <c r="W63" s="248"/>
      <c r="X63" s="158"/>
      <c r="Y63" s="158"/>
      <c r="Z63" s="160"/>
      <c r="AA63" s="68"/>
      <c r="AB63" s="68"/>
      <c r="AC63" s="68"/>
      <c r="AD63" s="68"/>
      <c r="AE63" s="158"/>
      <c r="AF63" s="158"/>
      <c r="AG63" s="160"/>
      <c r="AH63" s="68"/>
      <c r="AI63" s="68"/>
      <c r="AJ63" s="68"/>
      <c r="AK63" s="68"/>
      <c r="AL63" s="158"/>
      <c r="AM63" s="158"/>
      <c r="AN63" s="160"/>
      <c r="AO63" s="68"/>
      <c r="AP63" s="68"/>
      <c r="AQ63" s="68"/>
      <c r="AR63" s="68"/>
      <c r="AS63" s="158"/>
      <c r="AT63" s="158"/>
      <c r="AU63" s="160"/>
      <c r="AV63" s="68"/>
      <c r="AW63" s="68"/>
      <c r="AX63" s="68"/>
      <c r="AY63" s="68"/>
      <c r="AZ63" s="68"/>
      <c r="BA63" s="68"/>
      <c r="BB63" s="68"/>
    </row>
    <row r="64" spans="1:57">
      <c r="D64" s="369" t="s">
        <v>312</v>
      </c>
      <c r="E64" s="189"/>
      <c r="F64" s="189"/>
      <c r="G64" s="189"/>
      <c r="H64" s="189"/>
      <c r="I64" s="189"/>
      <c r="J64" s="157">
        <f>J55/E55</f>
        <v>293492.64986323396</v>
      </c>
      <c r="K64" s="157"/>
      <c r="L64" s="157"/>
      <c r="M64" s="157"/>
      <c r="N64" s="157"/>
      <c r="O64" s="157"/>
      <c r="P64" s="157">
        <f>P55/K55</f>
        <v>344050.11913162703</v>
      </c>
      <c r="Q64" s="157"/>
      <c r="R64" s="157"/>
      <c r="T64" s="157"/>
      <c r="U64" s="157"/>
      <c r="V64" s="157"/>
      <c r="W64" s="189">
        <f>W55/Q55</f>
        <v>951707.25020538224</v>
      </c>
      <c r="X64" s="376"/>
      <c r="Y64" s="376"/>
      <c r="AD64" s="189">
        <f>AD55/X55</f>
        <v>1780450.6906358015</v>
      </c>
      <c r="AK64" s="189">
        <f>AK55/AE55</f>
        <v>2386899.7728405437</v>
      </c>
      <c r="AR64" s="189">
        <f>AR55/AL55</f>
        <v>3252085.9994849297</v>
      </c>
      <c r="AY64" s="189">
        <f>AY55/AS55</f>
        <v>4313443.8736965731</v>
      </c>
    </row>
    <row r="65" spans="2:53">
      <c r="D65" s="369" t="s">
        <v>313</v>
      </c>
      <c r="E65" s="189"/>
      <c r="F65" s="189"/>
      <c r="G65" s="189"/>
      <c r="H65" s="189"/>
      <c r="I65" s="189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223">
        <f>(W64/J64)^(1/2)-1</f>
        <v>0.80074855196177319</v>
      </c>
      <c r="X65" s="376"/>
      <c r="Y65" s="376"/>
      <c r="AD65" s="155"/>
      <c r="AK65" s="155"/>
      <c r="AR65" s="155"/>
      <c r="AY65" s="155"/>
    </row>
    <row r="66" spans="2:53">
      <c r="D66" s="369"/>
      <c r="E66" s="189"/>
      <c r="F66" s="189"/>
      <c r="G66" s="189"/>
      <c r="H66" s="189"/>
      <c r="I66" s="189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89"/>
      <c r="X66" s="376"/>
      <c r="Y66" s="376"/>
    </row>
    <row r="67" spans="2:53" ht="13">
      <c r="B67" s="368" t="s">
        <v>314</v>
      </c>
      <c r="C67" s="377"/>
      <c r="D67" s="82"/>
      <c r="E67" s="189"/>
      <c r="F67" s="189"/>
      <c r="G67" s="189"/>
      <c r="H67" s="189"/>
      <c r="I67" s="189"/>
      <c r="J67" s="157"/>
      <c r="K67" s="157"/>
      <c r="L67" s="157"/>
      <c r="M67" s="157"/>
      <c r="N67" s="157"/>
      <c r="O67" s="157"/>
      <c r="P67" s="157"/>
      <c r="Q67" s="301"/>
      <c r="R67" s="301"/>
      <c r="S67" s="157"/>
      <c r="T67" s="157"/>
      <c r="U67" s="157"/>
      <c r="V67" s="157"/>
      <c r="W67" s="189"/>
      <c r="X67" s="301"/>
      <c r="Y67" s="301"/>
    </row>
    <row r="68" spans="2:53" ht="13">
      <c r="E68" s="189"/>
      <c r="F68" s="189"/>
      <c r="G68" s="189"/>
      <c r="H68" s="189"/>
      <c r="I68" s="189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89"/>
      <c r="AW68" s="745"/>
      <c r="BA68" s="54" t="s">
        <v>315</v>
      </c>
    </row>
    <row r="69" spans="2:53" s="54" customFormat="1" ht="13">
      <c r="B69" s="97" t="s">
        <v>316</v>
      </c>
      <c r="C69" s="97"/>
      <c r="D69" s="79"/>
      <c r="E69" s="98"/>
      <c r="F69" s="98"/>
      <c r="G69" s="98"/>
      <c r="H69" s="98"/>
      <c r="I69" s="98"/>
      <c r="J69" s="325"/>
      <c r="K69" s="98"/>
      <c r="L69" s="98"/>
      <c r="M69" s="98"/>
      <c r="N69" s="98"/>
      <c r="O69" s="98"/>
      <c r="P69" s="325"/>
      <c r="Q69" s="98"/>
      <c r="R69" s="98"/>
      <c r="S69" s="98"/>
      <c r="T69" s="98"/>
      <c r="U69" s="99"/>
      <c r="V69" s="98"/>
      <c r="W69" s="325"/>
      <c r="X69" s="97"/>
      <c r="Y69" s="97"/>
      <c r="Z69" s="97"/>
      <c r="AA69" s="97"/>
      <c r="AB69" s="97"/>
      <c r="AC69" s="97"/>
      <c r="AD69" s="342"/>
      <c r="AE69" s="97"/>
      <c r="AF69" s="97"/>
      <c r="AG69" s="97"/>
      <c r="AH69" s="97"/>
      <c r="AI69" s="97"/>
      <c r="AJ69" s="97"/>
      <c r="AK69" s="342"/>
      <c r="AL69" s="97"/>
      <c r="AM69" s="97"/>
      <c r="AN69" s="97"/>
      <c r="AO69" s="97"/>
      <c r="AP69" s="97"/>
      <c r="AQ69" s="97"/>
      <c r="AR69" s="342"/>
      <c r="AS69" s="97"/>
      <c r="AT69" s="97"/>
      <c r="AU69" s="97"/>
      <c r="AV69" s="97"/>
      <c r="AW69" s="97"/>
      <c r="AX69" s="97"/>
      <c r="AY69" s="342"/>
      <c r="BA69" s="155">
        <v>0.3</v>
      </c>
    </row>
    <row r="70" spans="2:53">
      <c r="D70" s="82" t="s">
        <v>294</v>
      </c>
      <c r="E70" s="83"/>
      <c r="F70" s="83"/>
      <c r="G70" s="83">
        <v>300430</v>
      </c>
      <c r="H70" s="83">
        <v>690</v>
      </c>
      <c r="I70" s="84">
        <f>J70/H70</f>
        <v>10595.564</v>
      </c>
      <c r="J70" s="326">
        <v>7310939.1600000001</v>
      </c>
      <c r="K70" s="84"/>
      <c r="L70" s="84"/>
      <c r="M70" s="84">
        <v>33110</v>
      </c>
      <c r="N70" s="84">
        <v>95</v>
      </c>
      <c r="O70" s="84">
        <f>P70/N70</f>
        <v>13516.173684210526</v>
      </c>
      <c r="P70" s="326">
        <v>1284036.5</v>
      </c>
      <c r="Q70" s="84"/>
      <c r="R70" s="84"/>
      <c r="S70" s="84"/>
      <c r="T70" s="248">
        <v>2750</v>
      </c>
      <c r="U70" s="249">
        <v>221</v>
      </c>
      <c r="V70" s="248">
        <f>W70/U70</f>
        <v>859.04058823529408</v>
      </c>
      <c r="W70" s="759">
        <v>189847.97</v>
      </c>
      <c r="X70" s="68"/>
      <c r="Y70" s="68"/>
      <c r="Z70" s="68"/>
      <c r="AA70" s="68"/>
      <c r="AB70" s="181">
        <v>1000</v>
      </c>
      <c r="AC70" s="181">
        <f>575*15</f>
        <v>8625</v>
      </c>
      <c r="AD70" s="741">
        <f>AB70*AC70</f>
        <v>8625000</v>
      </c>
      <c r="AE70" s="181"/>
      <c r="AF70" s="181"/>
      <c r="AG70" s="181"/>
      <c r="AH70" s="181"/>
      <c r="AI70" s="181">
        <f>ROUNDUP(AB70*(1+$BA$69),-1)</f>
        <v>1300</v>
      </c>
      <c r="AJ70" s="181">
        <v>8000</v>
      </c>
      <c r="AK70" s="741">
        <f>AI70*AJ70</f>
        <v>10400000</v>
      </c>
      <c r="AL70" s="181"/>
      <c r="AM70" s="181"/>
      <c r="AN70" s="181"/>
      <c r="AO70" s="181"/>
      <c r="AP70" s="181">
        <f>ROUNDUP(AI70*(1+$BA$69),-2)</f>
        <v>1700</v>
      </c>
      <c r="AQ70" s="181">
        <v>7500</v>
      </c>
      <c r="AR70" s="741">
        <f>AP70*AQ70</f>
        <v>12750000</v>
      </c>
      <c r="AS70" s="181"/>
      <c r="AT70" s="181"/>
      <c r="AU70" s="181"/>
      <c r="AV70" s="181"/>
      <c r="AW70" s="181">
        <f>ROUNDUP(AP70*(1+$BA$69),-1)</f>
        <v>2210</v>
      </c>
      <c r="AX70" s="181">
        <v>7500</v>
      </c>
      <c r="AY70" s="741">
        <f>AW70*AX70</f>
        <v>16575000</v>
      </c>
    </row>
    <row r="71" spans="2:53">
      <c r="D71" s="82" t="s">
        <v>295</v>
      </c>
      <c r="E71" s="83"/>
      <c r="F71" s="83"/>
      <c r="G71" s="83"/>
      <c r="H71" s="83"/>
      <c r="I71" s="83"/>
      <c r="J71" s="326"/>
      <c r="K71" s="84"/>
      <c r="L71" s="84"/>
      <c r="M71" s="84"/>
      <c r="N71" s="84"/>
      <c r="O71" s="84"/>
      <c r="P71" s="326">
        <f>N71*O71</f>
        <v>0</v>
      </c>
      <c r="Q71" s="84"/>
      <c r="R71" s="84"/>
      <c r="S71" s="84"/>
      <c r="T71" s="248"/>
      <c r="U71" s="249"/>
      <c r="V71" s="248"/>
      <c r="W71" s="759">
        <f>U71*V71</f>
        <v>0</v>
      </c>
      <c r="X71" s="68"/>
      <c r="Y71" s="68"/>
      <c r="Z71" s="68"/>
      <c r="AA71" s="68"/>
      <c r="AB71" s="181">
        <v>10</v>
      </c>
      <c r="AC71" s="181">
        <v>50000</v>
      </c>
      <c r="AD71" s="741">
        <f>AB71*AC71</f>
        <v>500000</v>
      </c>
      <c r="AE71" s="181"/>
      <c r="AF71" s="181"/>
      <c r="AG71" s="181"/>
      <c r="AH71" s="181"/>
      <c r="AI71" s="181">
        <f>ROUNDUP(AB71*(1+$BA$69),-1)</f>
        <v>20</v>
      </c>
      <c r="AJ71" s="181">
        <v>40000</v>
      </c>
      <c r="AK71" s="741">
        <f>AI71*AJ71</f>
        <v>800000</v>
      </c>
      <c r="AL71" s="181"/>
      <c r="AM71" s="181"/>
      <c r="AN71" s="181"/>
      <c r="AO71" s="181"/>
      <c r="AP71" s="181">
        <f>ROUNDUP(AI71*(1+$BA$69),-1)</f>
        <v>30</v>
      </c>
      <c r="AQ71" s="181">
        <v>35000</v>
      </c>
      <c r="AR71" s="741">
        <f>AP71*AQ71</f>
        <v>1050000</v>
      </c>
      <c r="AS71" s="181"/>
      <c r="AT71" s="181"/>
      <c r="AU71" s="181"/>
      <c r="AV71" s="181"/>
      <c r="AW71" s="181">
        <f>ROUNDUP(AP71*(1+$BA$69),-1)</f>
        <v>40</v>
      </c>
      <c r="AX71" s="181">
        <v>35000</v>
      </c>
      <c r="AY71" s="741">
        <f>AW71*AX71</f>
        <v>1400000</v>
      </c>
    </row>
    <row r="72" spans="2:53">
      <c r="D72" s="87" t="s">
        <v>296</v>
      </c>
      <c r="E72" s="83"/>
      <c r="F72" s="83"/>
      <c r="G72" s="83"/>
      <c r="H72" s="83">
        <v>275</v>
      </c>
      <c r="I72" s="84">
        <f>J72/H72</f>
        <v>25042.363636363636</v>
      </c>
      <c r="J72" s="327">
        <v>6886650</v>
      </c>
      <c r="K72" s="88"/>
      <c r="L72" s="88"/>
      <c r="M72" s="88"/>
      <c r="N72" s="88">
        <v>254</v>
      </c>
      <c r="O72" s="84">
        <f>P72/N72</f>
        <v>29553.739133858267</v>
      </c>
      <c r="P72" s="327">
        <v>7506649.7400000002</v>
      </c>
      <c r="Q72" s="88"/>
      <c r="R72" s="88"/>
      <c r="S72" s="88"/>
      <c r="T72" s="760"/>
      <c r="U72" s="761"/>
      <c r="V72" s="760"/>
      <c r="W72" s="762">
        <f>U72*V72</f>
        <v>0</v>
      </c>
      <c r="X72" s="90"/>
      <c r="Y72" s="90"/>
      <c r="Z72" s="90"/>
      <c r="AA72" s="90"/>
      <c r="AB72" s="742">
        <v>100</v>
      </c>
      <c r="AC72" s="742">
        <v>15000</v>
      </c>
      <c r="AD72" s="743">
        <f>AB72*AC72</f>
        <v>1500000</v>
      </c>
      <c r="AE72" s="742"/>
      <c r="AF72" s="742"/>
      <c r="AG72" s="742"/>
      <c r="AH72" s="742"/>
      <c r="AI72" s="744">
        <f>ROUNDUP(AB72*(1+$BA$69),-1)</f>
        <v>130</v>
      </c>
      <c r="AJ72" s="742">
        <v>13000</v>
      </c>
      <c r="AK72" s="743">
        <f>AI72*AJ72</f>
        <v>1690000</v>
      </c>
      <c r="AL72" s="742"/>
      <c r="AM72" s="742"/>
      <c r="AN72" s="742"/>
      <c r="AO72" s="742"/>
      <c r="AP72" s="744">
        <f>ROUNDUP(AI72*(1+$BA$69),-1)</f>
        <v>170</v>
      </c>
      <c r="AQ72" s="742">
        <v>12000</v>
      </c>
      <c r="AR72" s="743">
        <f>AP72*AQ72</f>
        <v>2040000</v>
      </c>
      <c r="AS72" s="742"/>
      <c r="AT72" s="742"/>
      <c r="AU72" s="742"/>
      <c r="AV72" s="742"/>
      <c r="AW72" s="744">
        <f>ROUNDUP(AP72*(1+$BA$69),-1)</f>
        <v>230</v>
      </c>
      <c r="AX72" s="742">
        <v>12000</v>
      </c>
      <c r="AY72" s="743">
        <f>AW72*AX72</f>
        <v>2760000</v>
      </c>
    </row>
    <row r="73" spans="2:53">
      <c r="D73" s="68" t="s">
        <v>297</v>
      </c>
      <c r="E73" s="83"/>
      <c r="F73" s="83"/>
      <c r="G73" s="83"/>
      <c r="H73" s="83">
        <v>117</v>
      </c>
      <c r="I73" s="84">
        <f>J73/H73</f>
        <v>18622.625641025643</v>
      </c>
      <c r="J73" s="326">
        <v>2178847.2000000002</v>
      </c>
      <c r="K73" s="84"/>
      <c r="L73" s="84"/>
      <c r="M73" s="84"/>
      <c r="N73" s="84">
        <v>780</v>
      </c>
      <c r="O73" s="84">
        <f>P73/N73</f>
        <v>942.51169230769233</v>
      </c>
      <c r="P73" s="326">
        <v>735159.12</v>
      </c>
      <c r="Q73" s="84"/>
      <c r="R73" s="84"/>
      <c r="S73" s="84"/>
      <c r="T73" s="248"/>
      <c r="U73" s="249">
        <v>3</v>
      </c>
      <c r="V73" s="248">
        <f>W73/U73</f>
        <v>106919.97333333333</v>
      </c>
      <c r="W73" s="759">
        <v>320759.92</v>
      </c>
      <c r="X73" s="68"/>
      <c r="Y73" s="68"/>
      <c r="Z73" s="68"/>
      <c r="AA73" s="68"/>
      <c r="AB73" s="68"/>
      <c r="AC73" s="68"/>
      <c r="AD73" s="343"/>
      <c r="AE73" s="68"/>
      <c r="AF73" s="68"/>
      <c r="AG73" s="68"/>
      <c r="AH73" s="68"/>
      <c r="AI73" s="68"/>
      <c r="AJ73" s="68"/>
      <c r="AK73" s="343"/>
      <c r="AL73" s="68"/>
      <c r="AM73" s="68"/>
      <c r="AN73" s="68"/>
      <c r="AO73" s="68"/>
      <c r="AP73" s="68"/>
      <c r="AQ73" s="68"/>
      <c r="AR73" s="343"/>
      <c r="AS73" s="68"/>
      <c r="AT73" s="68"/>
      <c r="AU73" s="68"/>
      <c r="AV73" s="68"/>
      <c r="AW73" s="68"/>
      <c r="AX73" s="68"/>
      <c r="AY73" s="343"/>
    </row>
    <row r="74" spans="2:53" s="166" customFormat="1" ht="13" thickBot="1">
      <c r="B74" s="737" t="s">
        <v>299</v>
      </c>
      <c r="C74" s="738"/>
      <c r="D74" s="739"/>
      <c r="E74" s="435"/>
      <c r="F74" s="435"/>
      <c r="G74" s="740">
        <f>SUM(G70:G73)</f>
        <v>300430</v>
      </c>
      <c r="H74" s="740">
        <f>SUM(H70:H73)</f>
        <v>1082</v>
      </c>
      <c r="I74" s="435"/>
      <c r="J74" s="736">
        <f>SUM(J70:J73)</f>
        <v>16376436.359999999</v>
      </c>
      <c r="K74" s="737"/>
      <c r="L74" s="737"/>
      <c r="M74" s="740">
        <f>SUM(M70:M73)</f>
        <v>33110</v>
      </c>
      <c r="N74" s="740">
        <f>SUM(N70:N73)</f>
        <v>1129</v>
      </c>
      <c r="O74" s="737"/>
      <c r="P74" s="736">
        <f>SUM(P70:P73)</f>
        <v>9525845.3599999994</v>
      </c>
      <c r="Q74" s="737"/>
      <c r="R74" s="737"/>
      <c r="S74" s="737"/>
      <c r="T74" s="763">
        <f>SUM(T70:T73)</f>
        <v>2750</v>
      </c>
      <c r="U74" s="763">
        <f>SUM(U70:U73)</f>
        <v>224</v>
      </c>
      <c r="V74" s="764"/>
      <c r="W74" s="763">
        <f>SUM(W70:W73)</f>
        <v>510607.89</v>
      </c>
      <c r="X74" s="737"/>
      <c r="Y74" s="737"/>
      <c r="Z74" s="737"/>
      <c r="AA74" s="737"/>
      <c r="AB74" s="740">
        <f>SUM(AB70:AB73)</f>
        <v>1110</v>
      </c>
      <c r="AC74" s="737"/>
      <c r="AD74" s="736">
        <f>SUM(AD70:AD72)</f>
        <v>10625000</v>
      </c>
      <c r="AE74" s="737"/>
      <c r="AF74" s="737"/>
      <c r="AG74" s="737"/>
      <c r="AH74" s="737"/>
      <c r="AI74" s="740">
        <f>SUM(AI70:AI73)</f>
        <v>1450</v>
      </c>
      <c r="AJ74" s="737"/>
      <c r="AK74" s="736">
        <f>SUM(AK70:AK72)</f>
        <v>12890000</v>
      </c>
      <c r="AL74" s="737"/>
      <c r="AM74" s="737"/>
      <c r="AN74" s="737"/>
      <c r="AO74" s="737"/>
      <c r="AP74" s="740">
        <f>SUM(AP70:AP73)</f>
        <v>1900</v>
      </c>
      <c r="AQ74" s="737"/>
      <c r="AR74" s="736">
        <f>SUM(AR70:AR72)</f>
        <v>15840000</v>
      </c>
      <c r="AS74" s="737"/>
      <c r="AT74" s="737"/>
      <c r="AU74" s="737"/>
      <c r="AV74" s="737"/>
      <c r="AW74" s="740">
        <f>SUM(AW70:AW73)</f>
        <v>2480</v>
      </c>
      <c r="AX74" s="737"/>
      <c r="AY74" s="736">
        <f>SUM(AY70:AY72)</f>
        <v>20735000</v>
      </c>
    </row>
    <row r="75" spans="2:53" ht="13" thickTop="1"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247"/>
      <c r="V75" s="189"/>
      <c r="W75" s="189"/>
      <c r="AW75" s="366"/>
      <c r="AY75" s="367"/>
    </row>
    <row r="76" spans="2:53" ht="13">
      <c r="B76" s="368" t="s">
        <v>317</v>
      </c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247"/>
      <c r="V76" s="189"/>
      <c r="W76" s="189"/>
      <c r="AW76" s="366"/>
      <c r="AY76" s="367"/>
    </row>
    <row r="77" spans="2:53"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247"/>
      <c r="V77" s="189"/>
      <c r="W77" s="189"/>
      <c r="AW77" s="366"/>
      <c r="AY77" s="367"/>
    </row>
    <row r="78" spans="2:53" s="54" customFormat="1" ht="13">
      <c r="B78" s="97" t="s">
        <v>318</v>
      </c>
      <c r="C78" s="97"/>
      <c r="D78" s="79"/>
      <c r="E78" s="98"/>
      <c r="F78" s="98"/>
      <c r="G78" s="98"/>
      <c r="H78" s="98"/>
      <c r="I78" s="98"/>
      <c r="J78" s="325"/>
      <c r="K78" s="98"/>
      <c r="L78" s="98"/>
      <c r="M78" s="98"/>
      <c r="N78" s="98"/>
      <c r="O78" s="98"/>
      <c r="P78" s="325"/>
      <c r="Q78" s="98"/>
      <c r="R78" s="98"/>
      <c r="S78" s="98"/>
      <c r="T78" s="98"/>
      <c r="U78" s="99"/>
      <c r="V78" s="98"/>
      <c r="W78" s="325"/>
      <c r="X78" s="97"/>
      <c r="Y78" s="97"/>
      <c r="Z78" s="97"/>
      <c r="AA78" s="97"/>
      <c r="AB78" s="97"/>
      <c r="AC78" s="97"/>
      <c r="AD78" s="342"/>
      <c r="AE78" s="97"/>
      <c r="AF78" s="97"/>
      <c r="AG78" s="97"/>
      <c r="AH78" s="97"/>
      <c r="AI78" s="97"/>
      <c r="AJ78" s="97"/>
      <c r="AK78" s="342"/>
      <c r="AL78" s="97"/>
      <c r="AM78" s="97"/>
      <c r="AN78" s="97"/>
      <c r="AO78" s="97"/>
      <c r="AP78" s="97"/>
      <c r="AQ78" s="97"/>
      <c r="AR78" s="342"/>
      <c r="AS78" s="97"/>
      <c r="AT78" s="97"/>
      <c r="AU78" s="97"/>
      <c r="AV78" s="97"/>
      <c r="AW78" s="100"/>
      <c r="AX78" s="97"/>
      <c r="AY78" s="348"/>
      <c r="BA78" s="155">
        <v>0.3</v>
      </c>
    </row>
    <row r="79" spans="2:53">
      <c r="B79" s="67"/>
      <c r="D79" s="82" t="s">
        <v>294</v>
      </c>
      <c r="E79" s="83"/>
      <c r="F79" s="83"/>
      <c r="G79" s="83">
        <v>345472</v>
      </c>
      <c r="H79" s="83">
        <v>4306</v>
      </c>
      <c r="I79" s="84">
        <f>J79/H79</f>
        <v>2708.4978286112391</v>
      </c>
      <c r="J79" s="326">
        <v>11662791.649999995</v>
      </c>
      <c r="K79" s="84"/>
      <c r="L79" s="84"/>
      <c r="M79" s="84">
        <v>251227</v>
      </c>
      <c r="N79" s="84">
        <v>4542</v>
      </c>
      <c r="O79" s="248">
        <f>P79/N79</f>
        <v>2487.7482034346108</v>
      </c>
      <c r="P79" s="326">
        <v>11299352.340000002</v>
      </c>
      <c r="Q79" s="84"/>
      <c r="R79" s="84"/>
      <c r="S79" s="84"/>
      <c r="T79" s="84">
        <v>975555</v>
      </c>
      <c r="U79" s="85">
        <v>8509</v>
      </c>
      <c r="V79" s="84">
        <f>W79/U79</f>
        <v>3831.1112939240802</v>
      </c>
      <c r="W79" s="326">
        <v>32598926</v>
      </c>
      <c r="X79" s="68"/>
      <c r="Y79" s="68"/>
      <c r="Z79" s="68"/>
      <c r="AA79" s="68"/>
      <c r="AB79" s="181">
        <v>8000</v>
      </c>
      <c r="AC79" s="181">
        <v>5000</v>
      </c>
      <c r="AD79" s="741">
        <f>AB79*AC79</f>
        <v>40000000</v>
      </c>
      <c r="AE79" s="181"/>
      <c r="AF79" s="181"/>
      <c r="AG79" s="181"/>
      <c r="AH79" s="181"/>
      <c r="AI79" s="181">
        <f>ROUNDUP(AB79*(1+$BA$78),-2)</f>
        <v>10400</v>
      </c>
      <c r="AJ79" s="181">
        <v>5000</v>
      </c>
      <c r="AK79" s="741">
        <f>AI79*AJ79</f>
        <v>52000000</v>
      </c>
      <c r="AL79" s="181"/>
      <c r="AM79" s="181"/>
      <c r="AN79" s="181"/>
      <c r="AO79" s="181"/>
      <c r="AP79" s="181">
        <f>ROUNDUP(AI79*(1+$BA$78),-2)</f>
        <v>13600</v>
      </c>
      <c r="AQ79" s="181">
        <v>5000</v>
      </c>
      <c r="AR79" s="741">
        <f>AP79*AQ79</f>
        <v>68000000</v>
      </c>
      <c r="AS79" s="181"/>
      <c r="AT79" s="181"/>
      <c r="AU79" s="181"/>
      <c r="AV79" s="181"/>
      <c r="AW79" s="181">
        <f>ROUNDUP(AP79*(1+$BA$78),-2)</f>
        <v>17700</v>
      </c>
      <c r="AX79" s="181">
        <v>5000</v>
      </c>
      <c r="AY79" s="741">
        <f>AW79*AX79</f>
        <v>88500000</v>
      </c>
    </row>
    <row r="80" spans="2:53">
      <c r="D80" s="82" t="s">
        <v>295</v>
      </c>
      <c r="E80" s="83"/>
      <c r="F80" s="83"/>
      <c r="G80" s="83"/>
      <c r="H80" s="83">
        <v>370</v>
      </c>
      <c r="I80" s="84">
        <f>J80/H80</f>
        <v>3943.4235135135145</v>
      </c>
      <c r="J80" s="326">
        <v>1459066.7000000004</v>
      </c>
      <c r="K80" s="84"/>
      <c r="L80" s="84"/>
      <c r="M80" s="84"/>
      <c r="N80" s="84">
        <v>236</v>
      </c>
      <c r="O80" s="84">
        <f>P80/N80</f>
        <v>6287.8404237288123</v>
      </c>
      <c r="P80" s="326">
        <v>1483930.3399999996</v>
      </c>
      <c r="Q80" s="84"/>
      <c r="R80" s="84"/>
      <c r="S80" s="84"/>
      <c r="T80" s="84"/>
      <c r="U80" s="85">
        <v>232</v>
      </c>
      <c r="V80" s="248">
        <f>W80/U80</f>
        <v>8445.1585344827581</v>
      </c>
      <c r="W80" s="326">
        <v>1959276.78</v>
      </c>
      <c r="X80" s="68"/>
      <c r="Y80" s="68"/>
      <c r="Z80" s="68"/>
      <c r="AA80" s="68"/>
      <c r="AB80" s="181">
        <v>100</v>
      </c>
      <c r="AC80" s="181">
        <v>50000</v>
      </c>
      <c r="AD80" s="741">
        <f>AB80*AC80</f>
        <v>5000000</v>
      </c>
      <c r="AE80" s="181"/>
      <c r="AF80" s="181"/>
      <c r="AG80" s="181"/>
      <c r="AH80" s="181"/>
      <c r="AI80" s="181">
        <f>ROUNDUP(AB80*(1+$BA$78),-1)</f>
        <v>130</v>
      </c>
      <c r="AJ80" s="181">
        <v>50000</v>
      </c>
      <c r="AK80" s="741">
        <f>AI80*AJ80</f>
        <v>6500000</v>
      </c>
      <c r="AL80" s="181"/>
      <c r="AM80" s="181"/>
      <c r="AN80" s="181"/>
      <c r="AO80" s="181"/>
      <c r="AP80" s="181">
        <f>ROUNDUP(AI80*(1+$BA$78),-1)</f>
        <v>170</v>
      </c>
      <c r="AQ80" s="181">
        <v>50000</v>
      </c>
      <c r="AR80" s="741">
        <f>AP80*AQ80</f>
        <v>8500000</v>
      </c>
      <c r="AS80" s="181"/>
      <c r="AT80" s="181"/>
      <c r="AU80" s="181"/>
      <c r="AV80" s="181"/>
      <c r="AW80" s="181">
        <f>ROUNDUP(AP80*(1+$BA$78),-1)</f>
        <v>230</v>
      </c>
      <c r="AX80" s="181">
        <v>50000</v>
      </c>
      <c r="AY80" s="741">
        <f>AW80*AX80</f>
        <v>11500000</v>
      </c>
    </row>
    <row r="81" spans="2:53">
      <c r="D81" s="87" t="s">
        <v>296</v>
      </c>
      <c r="E81" s="83"/>
      <c r="F81" s="83"/>
      <c r="G81" s="83"/>
      <c r="H81" s="83">
        <v>94</v>
      </c>
      <c r="I81" s="84">
        <f>J81/H81</f>
        <v>4962.0971276595747</v>
      </c>
      <c r="J81" s="327">
        <v>466437.13</v>
      </c>
      <c r="K81" s="88"/>
      <c r="L81" s="88"/>
      <c r="M81" s="84"/>
      <c r="N81" s="84">
        <v>2</v>
      </c>
      <c r="O81" s="84">
        <f>P81/N81</f>
        <v>159123.38500000001</v>
      </c>
      <c r="P81" s="326">
        <v>318246.77</v>
      </c>
      <c r="Q81" s="88"/>
      <c r="R81" s="88"/>
      <c r="S81" s="88"/>
      <c r="T81" s="88"/>
      <c r="U81" s="89">
        <v>10</v>
      </c>
      <c r="V81" s="84">
        <f>W81/U81</f>
        <v>64398.976000000002</v>
      </c>
      <c r="W81" s="327">
        <v>643989.76000000001</v>
      </c>
      <c r="X81" s="90"/>
      <c r="Y81" s="90"/>
      <c r="Z81" s="90"/>
      <c r="AA81" s="90"/>
      <c r="AB81" s="742">
        <v>80</v>
      </c>
      <c r="AC81" s="742">
        <v>15000</v>
      </c>
      <c r="AD81" s="743">
        <f>AB81*AC81</f>
        <v>1200000</v>
      </c>
      <c r="AE81" s="742"/>
      <c r="AF81" s="742"/>
      <c r="AG81" s="742"/>
      <c r="AH81" s="742"/>
      <c r="AI81" s="181">
        <f>ROUNDUP(AB81*(1+$BA$78),-1)</f>
        <v>110</v>
      </c>
      <c r="AJ81" s="742">
        <v>15000</v>
      </c>
      <c r="AK81" s="743">
        <f>AI81*AJ81</f>
        <v>1650000</v>
      </c>
      <c r="AL81" s="742"/>
      <c r="AM81" s="742"/>
      <c r="AN81" s="742"/>
      <c r="AO81" s="742"/>
      <c r="AP81" s="181">
        <f>ROUNDUP(AI81*(1+$BA$78),-1)</f>
        <v>150</v>
      </c>
      <c r="AQ81" s="742">
        <v>15000</v>
      </c>
      <c r="AR81" s="743">
        <f>AP81*AQ81</f>
        <v>2250000</v>
      </c>
      <c r="AS81" s="742"/>
      <c r="AT81" s="742"/>
      <c r="AU81" s="742"/>
      <c r="AV81" s="742"/>
      <c r="AW81" s="181">
        <f>ROUNDUP(AP81*(1+$BA$78),-1)</f>
        <v>200</v>
      </c>
      <c r="AX81" s="742">
        <v>15000</v>
      </c>
      <c r="AY81" s="743">
        <f>AW81*AX81</f>
        <v>3000000</v>
      </c>
    </row>
    <row r="82" spans="2:53">
      <c r="D82" s="68" t="s">
        <v>297</v>
      </c>
      <c r="E82" s="83"/>
      <c r="F82" s="83"/>
      <c r="G82" s="83"/>
      <c r="H82" s="83">
        <v>8374</v>
      </c>
      <c r="I82" s="84">
        <f>J82/H82</f>
        <v>351.65395868163336</v>
      </c>
      <c r="J82" s="326">
        <v>2944750.2499999977</v>
      </c>
      <c r="K82" s="84"/>
      <c r="L82" s="84"/>
      <c r="M82" s="84"/>
      <c r="N82" s="84">
        <v>7260</v>
      </c>
      <c r="O82" s="84">
        <f>P82/N82</f>
        <v>610.74868457300295</v>
      </c>
      <c r="P82" s="326">
        <v>4434035.4500000011</v>
      </c>
      <c r="Q82" s="84"/>
      <c r="R82" s="84"/>
      <c r="S82" s="84"/>
      <c r="T82" s="84"/>
      <c r="U82" s="85">
        <v>75</v>
      </c>
      <c r="V82" s="84">
        <f>W82/U82</f>
        <v>4399.7444000000005</v>
      </c>
      <c r="W82" s="326">
        <v>329980.83</v>
      </c>
      <c r="X82" s="68"/>
      <c r="Y82" s="68"/>
      <c r="Z82" s="68"/>
      <c r="AA82" s="68"/>
      <c r="AB82" s="181"/>
      <c r="AC82" s="181"/>
      <c r="AD82" s="741"/>
      <c r="AE82" s="181"/>
      <c r="AF82" s="181"/>
      <c r="AG82" s="181"/>
      <c r="AH82" s="181"/>
      <c r="AI82" s="181"/>
      <c r="AJ82" s="181"/>
      <c r="AK82" s="741"/>
      <c r="AL82" s="181"/>
      <c r="AM82" s="181"/>
      <c r="AN82" s="181"/>
      <c r="AO82" s="181"/>
      <c r="AP82" s="181"/>
      <c r="AQ82" s="181"/>
      <c r="AR82" s="741"/>
      <c r="AS82" s="181"/>
      <c r="AT82" s="181"/>
      <c r="AU82" s="181"/>
      <c r="AV82" s="181"/>
      <c r="AW82" s="181"/>
      <c r="AX82" s="181"/>
      <c r="AY82" s="741"/>
    </row>
    <row r="83" spans="2:53" ht="13" thickBot="1">
      <c r="B83" s="91" t="s">
        <v>299</v>
      </c>
      <c r="C83" s="92"/>
      <c r="D83" s="93"/>
      <c r="E83" s="95"/>
      <c r="F83" s="95"/>
      <c r="G83" s="94">
        <f>SUM(G79:G82)</f>
        <v>345472</v>
      </c>
      <c r="H83" s="94">
        <f>SUM(H79:H82)</f>
        <v>13144</v>
      </c>
      <c r="I83" s="95"/>
      <c r="J83" s="328">
        <f>SUM(J79:J82)</f>
        <v>16533045.729999995</v>
      </c>
      <c r="K83" s="96"/>
      <c r="L83" s="96"/>
      <c r="M83" s="94">
        <f>SUM(M79:M82)</f>
        <v>251227</v>
      </c>
      <c r="N83" s="94">
        <f>SUM(N79:N82)</f>
        <v>12040</v>
      </c>
      <c r="O83" s="96"/>
      <c r="P83" s="328">
        <f>SUM(P79:P82)</f>
        <v>17535564.900000002</v>
      </c>
      <c r="Q83" s="96"/>
      <c r="R83" s="96"/>
      <c r="S83" s="96"/>
      <c r="T83" s="94">
        <f>SUM(T79:T82)</f>
        <v>975555</v>
      </c>
      <c r="U83" s="94">
        <f>SUM(U79:U82)</f>
        <v>8826</v>
      </c>
      <c r="V83" s="96"/>
      <c r="W83" s="328">
        <f>SUM(W79:W82)</f>
        <v>35532173.369999997</v>
      </c>
      <c r="X83" s="91"/>
      <c r="Y83" s="91"/>
      <c r="Z83" s="91"/>
      <c r="AA83" s="91"/>
      <c r="AB83" s="737"/>
      <c r="AC83" s="737"/>
      <c r="AD83" s="736">
        <f>SUM(AD79:AD81)</f>
        <v>46200000</v>
      </c>
      <c r="AE83" s="737"/>
      <c r="AF83" s="737"/>
      <c r="AG83" s="737"/>
      <c r="AH83" s="737"/>
      <c r="AI83" s="737"/>
      <c r="AJ83" s="737"/>
      <c r="AK83" s="736">
        <f>SUM(AK79:AK81)</f>
        <v>60150000</v>
      </c>
      <c r="AL83" s="737"/>
      <c r="AM83" s="737"/>
      <c r="AN83" s="737"/>
      <c r="AO83" s="737"/>
      <c r="AP83" s="737"/>
      <c r="AQ83" s="737"/>
      <c r="AR83" s="736">
        <f>SUM(AR79:AR81)</f>
        <v>78750000</v>
      </c>
      <c r="AS83" s="737"/>
      <c r="AT83" s="737"/>
      <c r="AU83" s="737"/>
      <c r="AV83" s="737"/>
      <c r="AW83" s="737"/>
      <c r="AX83" s="737"/>
      <c r="AY83" s="736">
        <f>SUM(AY79:AY81)</f>
        <v>103000000</v>
      </c>
    </row>
    <row r="84" spans="2:53" ht="13" thickTop="1"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247"/>
      <c r="V84" s="189"/>
      <c r="W84" s="189"/>
      <c r="AB84" s="166"/>
      <c r="AC84" s="166"/>
      <c r="AD84" s="166"/>
      <c r="AW84" s="366"/>
      <c r="AY84" s="367"/>
    </row>
    <row r="85" spans="2:53" ht="13">
      <c r="B85" s="97" t="s">
        <v>319</v>
      </c>
      <c r="C85" s="101"/>
      <c r="D85" s="102"/>
      <c r="E85" s="103"/>
      <c r="F85" s="103"/>
      <c r="G85" s="103"/>
      <c r="H85" s="103"/>
      <c r="I85" s="103"/>
      <c r="J85" s="329"/>
      <c r="K85" s="103"/>
      <c r="L85" s="103"/>
      <c r="M85" s="103"/>
      <c r="N85" s="103"/>
      <c r="O85" s="103"/>
      <c r="P85" s="329"/>
      <c r="Q85" s="103"/>
      <c r="R85" s="103"/>
      <c r="S85" s="103"/>
      <c r="T85" s="103"/>
      <c r="U85" s="104"/>
      <c r="V85" s="103"/>
      <c r="W85" s="329"/>
      <c r="X85" s="101"/>
      <c r="Y85" s="101"/>
      <c r="Z85" s="101"/>
      <c r="AA85" s="101"/>
      <c r="AB85" s="750"/>
      <c r="AC85" s="750"/>
      <c r="AD85" s="508"/>
      <c r="AE85" s="101"/>
      <c r="AF85" s="101"/>
      <c r="AG85" s="101"/>
      <c r="AH85" s="101"/>
      <c r="AI85" s="101"/>
      <c r="AJ85" s="101"/>
      <c r="AK85" s="318"/>
      <c r="AL85" s="101"/>
      <c r="AM85" s="101"/>
      <c r="AN85" s="101"/>
      <c r="AO85" s="101"/>
      <c r="AP85" s="101"/>
      <c r="AQ85" s="101"/>
      <c r="AR85" s="318"/>
      <c r="AS85" s="101"/>
      <c r="AT85" s="101"/>
      <c r="AU85" s="101"/>
      <c r="AV85" s="101"/>
      <c r="AW85" s="105"/>
      <c r="AX85" s="101"/>
      <c r="AY85" s="347"/>
    </row>
    <row r="86" spans="2:53">
      <c r="B86" s="67"/>
      <c r="D86" s="82" t="s">
        <v>294</v>
      </c>
      <c r="E86" s="83"/>
      <c r="F86" s="83"/>
      <c r="G86" s="83">
        <v>16480</v>
      </c>
      <c r="H86" s="83">
        <v>52</v>
      </c>
      <c r="I86" s="84">
        <f>J86/H86</f>
        <v>14010.588269230766</v>
      </c>
      <c r="J86" s="326">
        <v>728550.58999999985</v>
      </c>
      <c r="K86" s="84"/>
      <c r="L86" s="84"/>
      <c r="M86" s="84">
        <v>2490</v>
      </c>
      <c r="N86" s="84">
        <v>128</v>
      </c>
      <c r="O86" s="248">
        <f>P86/N86</f>
        <v>1197.3353906249999</v>
      </c>
      <c r="P86" s="326">
        <v>153258.93</v>
      </c>
      <c r="Q86" s="84"/>
      <c r="R86" s="84"/>
      <c r="S86" s="84"/>
      <c r="T86" s="84">
        <v>95405</v>
      </c>
      <c r="U86" s="85">
        <v>230</v>
      </c>
      <c r="V86" s="84">
        <f>W86/U86</f>
        <v>9568.7133043478261</v>
      </c>
      <c r="W86" s="326">
        <v>2200804.06</v>
      </c>
      <c r="X86" s="68"/>
      <c r="Y86" s="68"/>
      <c r="Z86" s="68"/>
      <c r="AA86" s="68"/>
      <c r="AB86" s="181">
        <v>600</v>
      </c>
      <c r="AC86" s="181">
        <v>10000</v>
      </c>
      <c r="AD86" s="741">
        <f>AB86*AC86</f>
        <v>6000000</v>
      </c>
      <c r="AE86" s="181"/>
      <c r="AF86" s="181"/>
      <c r="AG86" s="181"/>
      <c r="AH86" s="181"/>
      <c r="AI86" s="181">
        <v>1000</v>
      </c>
      <c r="AJ86" s="181">
        <v>10000</v>
      </c>
      <c r="AK86" s="741">
        <f>AI86*AJ86</f>
        <v>10000000</v>
      </c>
      <c r="AL86" s="181"/>
      <c r="AM86" s="181"/>
      <c r="AN86" s="181"/>
      <c r="AO86" s="181"/>
      <c r="AP86" s="181">
        <v>2000</v>
      </c>
      <c r="AQ86" s="181">
        <v>10000</v>
      </c>
      <c r="AR86" s="741">
        <f>AP86*AQ86</f>
        <v>20000000</v>
      </c>
      <c r="AS86" s="181"/>
      <c r="AT86" s="181"/>
      <c r="AU86" s="181"/>
      <c r="AV86" s="181"/>
      <c r="AW86" s="181">
        <v>2500</v>
      </c>
      <c r="AX86" s="181">
        <v>10000</v>
      </c>
      <c r="AY86" s="741">
        <f>AW86*AX86</f>
        <v>25000000</v>
      </c>
    </row>
    <row r="87" spans="2:53">
      <c r="B87" s="67"/>
      <c r="D87" s="82" t="s">
        <v>295</v>
      </c>
      <c r="E87" s="83"/>
      <c r="F87" s="83"/>
      <c r="G87" s="83"/>
      <c r="H87" s="83">
        <v>20</v>
      </c>
      <c r="I87" s="84">
        <f>J87/H87</f>
        <v>4551.271999999999</v>
      </c>
      <c r="J87" s="326">
        <v>91025.439999999988</v>
      </c>
      <c r="K87" s="84"/>
      <c r="L87" s="84"/>
      <c r="M87" s="84"/>
      <c r="N87" s="84">
        <v>3</v>
      </c>
      <c r="O87" s="84">
        <f>P87/N87</f>
        <v>6355.9333333333334</v>
      </c>
      <c r="P87" s="326">
        <v>19067.8</v>
      </c>
      <c r="Q87" s="84"/>
      <c r="R87" s="84"/>
      <c r="S87" s="84"/>
      <c r="T87" s="84"/>
      <c r="U87" s="85">
        <v>24</v>
      </c>
      <c r="V87" s="84">
        <f>W87/U87</f>
        <v>13050.847916666666</v>
      </c>
      <c r="W87" s="326">
        <v>313220.34999999998</v>
      </c>
      <c r="X87" s="68"/>
      <c r="Y87" s="68"/>
      <c r="Z87" s="68"/>
      <c r="AA87" s="68"/>
      <c r="AB87" s="181">
        <v>50</v>
      </c>
      <c r="AC87" s="181">
        <v>13000</v>
      </c>
      <c r="AD87" s="741">
        <f>AB87*AC87</f>
        <v>650000</v>
      </c>
      <c r="AE87" s="181"/>
      <c r="AF87" s="181"/>
      <c r="AG87" s="181"/>
      <c r="AH87" s="181"/>
      <c r="AI87" s="181">
        <v>50</v>
      </c>
      <c r="AJ87" s="181">
        <v>13000</v>
      </c>
      <c r="AK87" s="741">
        <f>AI87*AJ87</f>
        <v>650000</v>
      </c>
      <c r="AL87" s="181"/>
      <c r="AM87" s="181"/>
      <c r="AN87" s="181"/>
      <c r="AO87" s="181"/>
      <c r="AP87" s="181">
        <v>60</v>
      </c>
      <c r="AQ87" s="181">
        <v>13000</v>
      </c>
      <c r="AR87" s="741">
        <f>AP87*AQ87</f>
        <v>780000</v>
      </c>
      <c r="AS87" s="181"/>
      <c r="AT87" s="181"/>
      <c r="AU87" s="181"/>
      <c r="AV87" s="181"/>
      <c r="AW87" s="181">
        <v>70</v>
      </c>
      <c r="AX87" s="181">
        <v>13000</v>
      </c>
      <c r="AY87" s="741">
        <f>AW87*AX87</f>
        <v>910000</v>
      </c>
    </row>
    <row r="88" spans="2:53">
      <c r="B88" s="67"/>
      <c r="D88" s="87" t="s">
        <v>296</v>
      </c>
      <c r="E88" s="83"/>
      <c r="F88" s="83"/>
      <c r="G88" s="83"/>
      <c r="H88" s="83">
        <v>21</v>
      </c>
      <c r="I88" s="84">
        <f>J88/H88</f>
        <v>6123.89</v>
      </c>
      <c r="J88" s="327">
        <v>128601.69</v>
      </c>
      <c r="K88" s="88"/>
      <c r="L88" s="88"/>
      <c r="M88" s="88"/>
      <c r="N88" s="88"/>
      <c r="O88" s="84"/>
      <c r="P88" s="327">
        <v>0</v>
      </c>
      <c r="Q88" s="88"/>
      <c r="R88" s="88"/>
      <c r="S88" s="88"/>
      <c r="T88" s="88"/>
      <c r="U88" s="89">
        <v>9</v>
      </c>
      <c r="V88" s="84">
        <f>W88/U88</f>
        <v>214376.98444444445</v>
      </c>
      <c r="W88" s="327">
        <v>1929392.86</v>
      </c>
      <c r="X88" s="90"/>
      <c r="Y88" s="90"/>
      <c r="Z88" s="90"/>
      <c r="AA88" s="90"/>
      <c r="AB88" s="181">
        <v>25</v>
      </c>
      <c r="AC88" s="742">
        <v>150000</v>
      </c>
      <c r="AD88" s="743">
        <f>AB88*AC88</f>
        <v>3750000</v>
      </c>
      <c r="AE88" s="742"/>
      <c r="AF88" s="742"/>
      <c r="AG88" s="742"/>
      <c r="AH88" s="742"/>
      <c r="AI88" s="181">
        <v>75</v>
      </c>
      <c r="AJ88" s="742">
        <v>150000</v>
      </c>
      <c r="AK88" s="743">
        <f>AI88*AJ88</f>
        <v>11250000</v>
      </c>
      <c r="AL88" s="742"/>
      <c r="AM88" s="742"/>
      <c r="AN88" s="742"/>
      <c r="AO88" s="742"/>
      <c r="AP88" s="181">
        <v>80</v>
      </c>
      <c r="AQ88" s="742">
        <v>150000</v>
      </c>
      <c r="AR88" s="743">
        <f>AP88*AQ88</f>
        <v>12000000</v>
      </c>
      <c r="AS88" s="742"/>
      <c r="AT88" s="742"/>
      <c r="AU88" s="742"/>
      <c r="AV88" s="742"/>
      <c r="AW88" s="181">
        <v>100</v>
      </c>
      <c r="AX88" s="742">
        <v>150000</v>
      </c>
      <c r="AY88" s="743">
        <f>AW88*AX88</f>
        <v>15000000</v>
      </c>
    </row>
    <row r="89" spans="2:53">
      <c r="B89" s="67"/>
      <c r="D89" s="68" t="s">
        <v>297</v>
      </c>
      <c r="E89" s="83"/>
      <c r="F89" s="83"/>
      <c r="G89" s="83"/>
      <c r="H89" s="83">
        <v>1780</v>
      </c>
      <c r="I89" s="84">
        <f>J89/H89</f>
        <v>71.426393258426941</v>
      </c>
      <c r="J89" s="326">
        <v>127138.97999999995</v>
      </c>
      <c r="K89" s="84"/>
      <c r="L89" s="84"/>
      <c r="M89" s="84"/>
      <c r="N89" s="88">
        <v>228</v>
      </c>
      <c r="O89" s="84">
        <f>P89/N89</f>
        <v>223.80359649122803</v>
      </c>
      <c r="P89" s="327">
        <v>51027.219999999994</v>
      </c>
      <c r="Q89" s="84"/>
      <c r="R89" s="84"/>
      <c r="S89" s="84"/>
      <c r="T89" s="84"/>
      <c r="U89" s="85">
        <v>419</v>
      </c>
      <c r="V89" s="84">
        <f>W89/U89</f>
        <v>1217.4727207637231</v>
      </c>
      <c r="W89" s="326">
        <v>510121.07</v>
      </c>
      <c r="X89" s="68"/>
      <c r="Y89" s="68"/>
      <c r="Z89" s="68"/>
      <c r="AA89" s="68"/>
      <c r="AB89" s="181"/>
      <c r="AC89" s="181"/>
      <c r="AD89" s="741"/>
      <c r="AE89" s="181"/>
      <c r="AF89" s="181"/>
      <c r="AG89" s="181"/>
      <c r="AH89" s="181"/>
      <c r="AI89" s="181"/>
      <c r="AJ89" s="181"/>
      <c r="AK89" s="741"/>
      <c r="AL89" s="181"/>
      <c r="AM89" s="181"/>
      <c r="AN89" s="181"/>
      <c r="AO89" s="181"/>
      <c r="AP89" s="181"/>
      <c r="AQ89" s="181"/>
      <c r="AR89" s="741"/>
      <c r="AS89" s="181"/>
      <c r="AT89" s="181"/>
      <c r="AU89" s="181"/>
      <c r="AV89" s="181"/>
      <c r="AW89" s="181"/>
      <c r="AX89" s="181"/>
      <c r="AY89" s="741"/>
    </row>
    <row r="90" spans="2:53" ht="13" thickBot="1">
      <c r="B90" s="91" t="s">
        <v>299</v>
      </c>
      <c r="C90" s="92"/>
      <c r="D90" s="93"/>
      <c r="E90" s="95"/>
      <c r="F90" s="95"/>
      <c r="G90" s="94">
        <f>SUM(G86:G89)</f>
        <v>16480</v>
      </c>
      <c r="H90" s="94">
        <f>SUM(H86:H89)</f>
        <v>1873</v>
      </c>
      <c r="I90" s="95"/>
      <c r="J90" s="328">
        <f>SUM(J86:J89)</f>
        <v>1075316.6999999997</v>
      </c>
      <c r="K90" s="96"/>
      <c r="L90" s="96"/>
      <c r="M90" s="94">
        <f>SUM(M86:M89)</f>
        <v>2490</v>
      </c>
      <c r="N90" s="94">
        <f>SUM(N86:N89)</f>
        <v>359</v>
      </c>
      <c r="O90" s="96"/>
      <c r="P90" s="328">
        <f>SUM(P86:P89)</f>
        <v>223353.94999999998</v>
      </c>
      <c r="Q90" s="96"/>
      <c r="R90" s="96"/>
      <c r="S90" s="96"/>
      <c r="T90" s="94">
        <f>SUM(T86:T89)</f>
        <v>95405</v>
      </c>
      <c r="U90" s="94">
        <f>SUM(U86:U89)</f>
        <v>682</v>
      </c>
      <c r="V90" s="96"/>
      <c r="W90" s="328">
        <f>SUM(W86:W89)</f>
        <v>4953538.3400000008</v>
      </c>
      <c r="X90" s="91"/>
      <c r="Y90" s="91"/>
      <c r="Z90" s="91"/>
      <c r="AA90" s="91"/>
      <c r="AB90" s="737"/>
      <c r="AC90" s="737"/>
      <c r="AD90" s="736">
        <f>SUM(AD86:AD88)</f>
        <v>10400000</v>
      </c>
      <c r="AE90" s="737"/>
      <c r="AF90" s="737"/>
      <c r="AG90" s="737"/>
      <c r="AH90" s="737"/>
      <c r="AI90" s="737"/>
      <c r="AJ90" s="737"/>
      <c r="AK90" s="736">
        <f>SUM(AK86:AK88)</f>
        <v>21900000</v>
      </c>
      <c r="AL90" s="737"/>
      <c r="AM90" s="737"/>
      <c r="AN90" s="737"/>
      <c r="AO90" s="737"/>
      <c r="AP90" s="737"/>
      <c r="AQ90" s="737"/>
      <c r="AR90" s="736">
        <f>SUM(AR86:AR88)</f>
        <v>32780000</v>
      </c>
      <c r="AS90" s="737"/>
      <c r="AT90" s="737"/>
      <c r="AU90" s="737"/>
      <c r="AV90" s="737"/>
      <c r="AW90" s="737"/>
      <c r="AX90" s="737"/>
      <c r="AY90" s="736">
        <f>SUM(AY86:AY88)</f>
        <v>40910000</v>
      </c>
    </row>
    <row r="91" spans="2:53" ht="13" thickTop="1">
      <c r="B91" s="67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247"/>
      <c r="V91" s="189"/>
      <c r="W91" s="189"/>
      <c r="AB91" s="166"/>
      <c r="AC91" s="166"/>
      <c r="AD91" s="166"/>
      <c r="AW91" s="366"/>
      <c r="AY91" s="367"/>
    </row>
    <row r="92" spans="2:53" ht="13">
      <c r="B92" s="97" t="s">
        <v>320</v>
      </c>
      <c r="C92" s="101"/>
      <c r="D92" s="102"/>
      <c r="E92" s="103"/>
      <c r="F92" s="103"/>
      <c r="G92" s="103"/>
      <c r="H92" s="103"/>
      <c r="I92" s="103"/>
      <c r="J92" s="329"/>
      <c r="K92" s="103"/>
      <c r="L92" s="103"/>
      <c r="M92" s="103"/>
      <c r="N92" s="103"/>
      <c r="O92" s="103"/>
      <c r="P92" s="329"/>
      <c r="Q92" s="103"/>
      <c r="R92" s="103"/>
      <c r="S92" s="103"/>
      <c r="T92" s="103"/>
      <c r="U92" s="104"/>
      <c r="V92" s="103"/>
      <c r="W92" s="329"/>
      <c r="X92" s="101"/>
      <c r="Y92" s="101"/>
      <c r="Z92" s="101"/>
      <c r="AA92" s="101"/>
      <c r="AB92" s="750"/>
      <c r="AC92" s="750"/>
      <c r="AD92" s="508"/>
      <c r="AE92" s="101"/>
      <c r="AF92" s="101"/>
      <c r="AG92" s="101"/>
      <c r="AH92" s="101"/>
      <c r="AI92" s="101"/>
      <c r="AJ92" s="101"/>
      <c r="AK92" s="318"/>
      <c r="AL92" s="101"/>
      <c r="AM92" s="101"/>
      <c r="AN92" s="101"/>
      <c r="AO92" s="101"/>
      <c r="AP92" s="101"/>
      <c r="AQ92" s="101"/>
      <c r="AR92" s="318"/>
      <c r="AS92" s="101"/>
      <c r="AT92" s="101"/>
      <c r="AU92" s="101"/>
      <c r="AV92" s="101"/>
      <c r="AW92" s="105"/>
      <c r="AX92" s="101"/>
      <c r="AY92" s="347"/>
      <c r="BA92" s="155">
        <v>0.3</v>
      </c>
    </row>
    <row r="93" spans="2:53">
      <c r="B93" s="67"/>
      <c r="D93" s="82" t="s">
        <v>294</v>
      </c>
      <c r="E93" s="83"/>
      <c r="F93" s="83"/>
      <c r="G93" s="83">
        <v>2238870</v>
      </c>
      <c r="H93" s="83">
        <v>17928</v>
      </c>
      <c r="I93" s="84">
        <f>J93/H93</f>
        <v>4782.8077733150876</v>
      </c>
      <c r="J93" s="326">
        <v>85746177.759992898</v>
      </c>
      <c r="K93" s="84"/>
      <c r="L93" s="84"/>
      <c r="M93" s="84">
        <v>2122085</v>
      </c>
      <c r="N93" s="84">
        <v>21624</v>
      </c>
      <c r="O93" s="248">
        <f>P93/N93</f>
        <v>3948.9714802994131</v>
      </c>
      <c r="P93" s="326">
        <v>85392559.289994508</v>
      </c>
      <c r="Q93" s="84"/>
      <c r="R93" s="84"/>
      <c r="S93" s="84"/>
      <c r="T93" s="84">
        <v>3880185</v>
      </c>
      <c r="U93" s="85">
        <v>19381</v>
      </c>
      <c r="V93" s="248">
        <f>W93/U93</f>
        <v>5752.9944951240905</v>
      </c>
      <c r="W93" s="326">
        <v>111498786.31</v>
      </c>
      <c r="X93" s="68"/>
      <c r="Y93" s="68"/>
      <c r="Z93" s="68"/>
      <c r="AA93" s="68"/>
      <c r="AB93" s="751">
        <f>ROUNDUP(U93*(1+$BA$92),-2)</f>
        <v>25200</v>
      </c>
      <c r="AC93" s="181">
        <v>7000</v>
      </c>
      <c r="AD93" s="741">
        <f>AC93*AB93</f>
        <v>176400000</v>
      </c>
      <c r="AE93" s="68"/>
      <c r="AF93" s="68"/>
      <c r="AG93" s="68"/>
      <c r="AH93" s="68"/>
      <c r="AI93" s="85">
        <f>ROUNDUP(AB93*(1+$BA$92),-2)</f>
        <v>32800</v>
      </c>
      <c r="AJ93" s="84">
        <v>7000</v>
      </c>
      <c r="AK93" s="326">
        <f>AJ93*AI93</f>
        <v>229600000</v>
      </c>
      <c r="AL93" s="68"/>
      <c r="AM93" s="68"/>
      <c r="AN93" s="68"/>
      <c r="AO93" s="68"/>
      <c r="AP93" s="85">
        <f>ROUNDUP(AI93*(1+$BA$92),-2)</f>
        <v>42700</v>
      </c>
      <c r="AQ93" s="84">
        <v>7000</v>
      </c>
      <c r="AR93" s="326">
        <f>AQ93*AP93</f>
        <v>298900000</v>
      </c>
      <c r="AS93" s="68"/>
      <c r="AT93" s="68"/>
      <c r="AU93" s="68"/>
      <c r="AV93" s="68"/>
      <c r="AW93" s="85">
        <f>ROUNDUP(AP93*(1+$BA$92),-2)</f>
        <v>55600</v>
      </c>
      <c r="AX93" s="84">
        <v>7000</v>
      </c>
      <c r="AY93" s="326">
        <f>AX93*AW93</f>
        <v>389200000</v>
      </c>
    </row>
    <row r="94" spans="2:53">
      <c r="B94" s="67"/>
      <c r="D94" s="82" t="s">
        <v>295</v>
      </c>
      <c r="E94" s="83"/>
      <c r="F94" s="83"/>
      <c r="G94" s="83"/>
      <c r="H94" s="83">
        <v>647</v>
      </c>
      <c r="I94" s="84">
        <f>J94/H94</f>
        <v>6090.295857805273</v>
      </c>
      <c r="J94" s="326">
        <v>3940421.4200000116</v>
      </c>
      <c r="K94" s="84"/>
      <c r="L94" s="84"/>
      <c r="M94" s="84"/>
      <c r="N94" s="84">
        <v>610</v>
      </c>
      <c r="O94" s="84">
        <f>P94/N94</f>
        <v>6202.6443770491678</v>
      </c>
      <c r="P94" s="326">
        <v>3783613.0699999924</v>
      </c>
      <c r="Q94" s="84"/>
      <c r="R94" s="84"/>
      <c r="S94" s="84"/>
      <c r="T94" s="84"/>
      <c r="U94" s="85">
        <v>245</v>
      </c>
      <c r="V94" s="84">
        <f>W94/U94</f>
        <v>14515.935714285732</v>
      </c>
      <c r="W94" s="326">
        <v>3556404.2500000042</v>
      </c>
      <c r="X94" s="68"/>
      <c r="Y94" s="68"/>
      <c r="Z94" s="68"/>
      <c r="AA94" s="68"/>
      <c r="AB94" s="751">
        <f>ROUNDUP(U94*(1+$BA$92),-1)</f>
        <v>320</v>
      </c>
      <c r="AC94" s="181">
        <v>13000</v>
      </c>
      <c r="AD94" s="741">
        <f t="shared" ref="AD94:AD96" si="10">AC94*AB94</f>
        <v>4160000</v>
      </c>
      <c r="AE94" s="68"/>
      <c r="AF94" s="68"/>
      <c r="AG94" s="68"/>
      <c r="AH94" s="68"/>
      <c r="AI94" s="85">
        <f>ROUNDUP(AB94*(1+$BA$92),-1)</f>
        <v>420</v>
      </c>
      <c r="AJ94" s="84">
        <v>13000</v>
      </c>
      <c r="AK94" s="326">
        <f t="shared" ref="AK94:AK96" si="11">AJ94*AI94</f>
        <v>5460000</v>
      </c>
      <c r="AL94" s="68"/>
      <c r="AM94" s="68"/>
      <c r="AN94" s="68"/>
      <c r="AO94" s="68"/>
      <c r="AP94" s="85">
        <f>ROUNDUP(AI94*(1+$BA$92),-1)</f>
        <v>550</v>
      </c>
      <c r="AQ94" s="84">
        <v>13000</v>
      </c>
      <c r="AR94" s="326">
        <f t="shared" ref="AR94:AR96" si="12">AQ94*AP94</f>
        <v>7150000</v>
      </c>
      <c r="AS94" s="68"/>
      <c r="AT94" s="68"/>
      <c r="AU94" s="68"/>
      <c r="AV94" s="68"/>
      <c r="AW94" s="85">
        <f>ROUNDUP(AP94*(1+$BA$92),-1)</f>
        <v>720</v>
      </c>
      <c r="AX94" s="84">
        <v>13000</v>
      </c>
      <c r="AY94" s="326">
        <f t="shared" ref="AY94:AY96" si="13">AX94*AW94</f>
        <v>9360000</v>
      </c>
    </row>
    <row r="95" spans="2:53">
      <c r="B95" s="67"/>
      <c r="D95" s="87" t="s">
        <v>296</v>
      </c>
      <c r="E95" s="83"/>
      <c r="F95" s="83"/>
      <c r="G95" s="83"/>
      <c r="H95" s="83">
        <v>488</v>
      </c>
      <c r="I95" s="84">
        <f>J95/H95</f>
        <v>10002.45672131149</v>
      </c>
      <c r="J95" s="327">
        <v>4881198.8800000073</v>
      </c>
      <c r="K95" s="88"/>
      <c r="L95" s="88"/>
      <c r="M95" s="88"/>
      <c r="N95" s="88">
        <v>105</v>
      </c>
      <c r="O95" s="84">
        <f>P95/N95</f>
        <v>33919.819047619043</v>
      </c>
      <c r="P95" s="327">
        <v>3561580.9999999995</v>
      </c>
      <c r="Q95" s="88"/>
      <c r="R95" s="88"/>
      <c r="S95" s="88"/>
      <c r="T95" s="88"/>
      <c r="U95" s="89">
        <v>175</v>
      </c>
      <c r="V95" s="84">
        <f>W95/U95</f>
        <v>29075.516514285719</v>
      </c>
      <c r="W95" s="327">
        <v>5088215.3900000006</v>
      </c>
      <c r="X95" s="90"/>
      <c r="Y95" s="90"/>
      <c r="Z95" s="90"/>
      <c r="AA95" s="90"/>
      <c r="AB95" s="751">
        <f>ROUNDUP(U95*(1+$BA$92),-1)</f>
        <v>230</v>
      </c>
      <c r="AC95" s="181">
        <v>25000</v>
      </c>
      <c r="AD95" s="741">
        <f t="shared" si="10"/>
        <v>5750000</v>
      </c>
      <c r="AE95" s="90"/>
      <c r="AF95" s="90"/>
      <c r="AG95" s="90"/>
      <c r="AH95" s="90"/>
      <c r="AI95" s="85">
        <f>ROUNDUP(AB95*(1+$BA$92),-1)</f>
        <v>300</v>
      </c>
      <c r="AJ95" s="84">
        <v>25000</v>
      </c>
      <c r="AK95" s="326">
        <f t="shared" si="11"/>
        <v>7500000</v>
      </c>
      <c r="AL95" s="90"/>
      <c r="AM95" s="90"/>
      <c r="AN95" s="90"/>
      <c r="AO95" s="90"/>
      <c r="AP95" s="85">
        <f>ROUNDUP(AI95*(1+$BA$92),-1)</f>
        <v>390</v>
      </c>
      <c r="AQ95" s="84">
        <v>25000</v>
      </c>
      <c r="AR95" s="326">
        <f t="shared" si="12"/>
        <v>9750000</v>
      </c>
      <c r="AS95" s="90"/>
      <c r="AT95" s="90"/>
      <c r="AU95" s="90"/>
      <c r="AV95" s="90"/>
      <c r="AW95" s="85">
        <f>ROUNDUP(AP95*(1+$BA$92),-1)</f>
        <v>510</v>
      </c>
      <c r="AX95" s="84">
        <v>25000</v>
      </c>
      <c r="AY95" s="326">
        <f t="shared" si="13"/>
        <v>12750000</v>
      </c>
    </row>
    <row r="96" spans="2:53">
      <c r="B96" s="67"/>
      <c r="D96" s="68" t="s">
        <v>297</v>
      </c>
      <c r="E96" s="83"/>
      <c r="F96" s="83"/>
      <c r="G96" s="83"/>
      <c r="H96" s="83">
        <v>32070</v>
      </c>
      <c r="I96" s="84">
        <f>J96/H96</f>
        <v>884.79387776740793</v>
      </c>
      <c r="J96" s="326">
        <v>28375339.660000771</v>
      </c>
      <c r="K96" s="84"/>
      <c r="L96" s="84"/>
      <c r="M96" s="84"/>
      <c r="N96" s="84">
        <v>3207</v>
      </c>
      <c r="O96" s="84">
        <f>P96/N96</f>
        <v>11264.531234798886</v>
      </c>
      <c r="P96" s="326">
        <v>36125351.670000024</v>
      </c>
      <c r="Q96" s="84"/>
      <c r="R96" s="84"/>
      <c r="S96" s="84"/>
      <c r="T96" s="84"/>
      <c r="U96" s="85">
        <v>79671</v>
      </c>
      <c r="V96" s="84">
        <f>W96/U96</f>
        <v>121.163011384318</v>
      </c>
      <c r="W96" s="326">
        <v>9653178.2799999993</v>
      </c>
      <c r="X96" s="68"/>
      <c r="Y96" s="68"/>
      <c r="Z96" s="68"/>
      <c r="AA96" s="68"/>
      <c r="AB96" s="751">
        <f>ROUNDUP(U96*(1+$BA$92),-2)</f>
        <v>103600</v>
      </c>
      <c r="AC96" s="181">
        <v>100</v>
      </c>
      <c r="AD96" s="741">
        <f t="shared" si="10"/>
        <v>10360000</v>
      </c>
      <c r="AE96" s="68"/>
      <c r="AF96" s="68"/>
      <c r="AG96" s="68"/>
      <c r="AH96" s="68"/>
      <c r="AI96" s="85">
        <f>ROUNDUP(AB96*(1+$BA$92),-2)</f>
        <v>134700</v>
      </c>
      <c r="AJ96" s="84">
        <v>100</v>
      </c>
      <c r="AK96" s="326">
        <f t="shared" si="11"/>
        <v>13470000</v>
      </c>
      <c r="AL96" s="68"/>
      <c r="AM96" s="68"/>
      <c r="AN96" s="68"/>
      <c r="AO96" s="68"/>
      <c r="AP96" s="85">
        <f>ROUNDUP(AI96*(1+$BA$92),-2)</f>
        <v>175200</v>
      </c>
      <c r="AQ96" s="84">
        <v>100</v>
      </c>
      <c r="AR96" s="326">
        <f t="shared" si="12"/>
        <v>17520000</v>
      </c>
      <c r="AS96" s="68"/>
      <c r="AT96" s="68"/>
      <c r="AU96" s="68"/>
      <c r="AV96" s="68"/>
      <c r="AW96" s="85">
        <f>ROUNDUP(AP96*(1+$BA$92),-2)</f>
        <v>227800</v>
      </c>
      <c r="AX96" s="84">
        <v>100</v>
      </c>
      <c r="AY96" s="326">
        <f t="shared" si="13"/>
        <v>22780000</v>
      </c>
    </row>
    <row r="97" spans="2:51" ht="13" thickBot="1">
      <c r="B97" s="91" t="s">
        <v>299</v>
      </c>
      <c r="C97" s="92"/>
      <c r="D97" s="93"/>
      <c r="E97" s="95"/>
      <c r="F97" s="95"/>
      <c r="G97" s="94">
        <f>SUM(G93:G96)</f>
        <v>2238870</v>
      </c>
      <c r="H97" s="94">
        <f>SUM(H93:H96)</f>
        <v>51133</v>
      </c>
      <c r="I97" s="95"/>
      <c r="J97" s="328">
        <f>SUM(J93:J96)</f>
        <v>122943137.7199937</v>
      </c>
      <c r="K97" s="96"/>
      <c r="L97" s="96"/>
      <c r="M97" s="94">
        <f>SUM(M93:M96)</f>
        <v>2122085</v>
      </c>
      <c r="N97" s="94">
        <f>SUM(N93:N96)</f>
        <v>25546</v>
      </c>
      <c r="O97" s="96"/>
      <c r="P97" s="328">
        <f>SUM(P93:P96)</f>
        <v>128863105.02999452</v>
      </c>
      <c r="Q97" s="96"/>
      <c r="R97" s="96"/>
      <c r="S97" s="96"/>
      <c r="T97" s="94">
        <f>SUM(T93:T96)</f>
        <v>3880185</v>
      </c>
      <c r="U97" s="94">
        <f>SUM(U93:U96)</f>
        <v>99472</v>
      </c>
      <c r="V97" s="96"/>
      <c r="W97" s="328">
        <f>SUM(W93:W96)</f>
        <v>129796584.23</v>
      </c>
      <c r="X97" s="91"/>
      <c r="Y97" s="91"/>
      <c r="Z97" s="91"/>
      <c r="AA97" s="91"/>
      <c r="AB97" s="94">
        <f>SUM(AB93:AB96)</f>
        <v>129350</v>
      </c>
      <c r="AC97" s="96"/>
      <c r="AD97" s="328">
        <f>SUM(AD93:AD96)</f>
        <v>196670000</v>
      </c>
      <c r="AE97" s="91"/>
      <c r="AF97" s="91"/>
      <c r="AG97" s="91"/>
      <c r="AH97" s="91"/>
      <c r="AI97" s="94">
        <f>SUM(AI93:AI96)</f>
        <v>168220</v>
      </c>
      <c r="AJ97" s="96"/>
      <c r="AK97" s="328">
        <f>SUM(AK93:AK96)</f>
        <v>256030000</v>
      </c>
      <c r="AL97" s="91"/>
      <c r="AM97" s="91"/>
      <c r="AN97" s="91"/>
      <c r="AO97" s="91"/>
      <c r="AP97" s="94">
        <f>SUM(AP93:AP96)</f>
        <v>218840</v>
      </c>
      <c r="AQ97" s="96"/>
      <c r="AR97" s="328">
        <f>SUM(AR93:AR96)</f>
        <v>333320000</v>
      </c>
      <c r="AS97" s="91"/>
      <c r="AT97" s="91"/>
      <c r="AU97" s="91"/>
      <c r="AV97" s="91"/>
      <c r="AW97" s="94">
        <f>SUM(AW93:AW96)</f>
        <v>284630</v>
      </c>
      <c r="AX97" s="96"/>
      <c r="AY97" s="328">
        <f>SUM(AY93:AY96)</f>
        <v>434090000</v>
      </c>
    </row>
    <row r="98" spans="2:51" ht="13" thickTop="1">
      <c r="E98" s="189"/>
      <c r="F98" s="189"/>
      <c r="G98" s="189"/>
      <c r="H98" s="189"/>
      <c r="I98" s="189"/>
      <c r="J98" s="330"/>
      <c r="K98" s="248"/>
      <c r="L98" s="248"/>
      <c r="M98" s="248"/>
      <c r="N98" s="248"/>
      <c r="O98" s="248"/>
      <c r="P98" s="330"/>
      <c r="Q98" s="248"/>
      <c r="R98" s="248"/>
      <c r="S98" s="248"/>
      <c r="T98" s="248"/>
      <c r="U98" s="249"/>
      <c r="V98" s="248"/>
      <c r="W98" s="330"/>
      <c r="X98" s="68"/>
      <c r="Y98" s="68"/>
      <c r="Z98" s="68"/>
      <c r="AA98" s="68"/>
      <c r="AB98" s="68"/>
      <c r="AC98" s="68"/>
      <c r="AD98" s="346"/>
      <c r="AE98" s="68"/>
      <c r="AF98" s="68"/>
      <c r="AG98" s="68"/>
      <c r="AH98" s="68"/>
      <c r="AI98" s="68"/>
      <c r="AJ98" s="68"/>
      <c r="AK98" s="346"/>
      <c r="AL98" s="68"/>
      <c r="AM98" s="68"/>
      <c r="AN98" s="68"/>
      <c r="AO98" s="68"/>
      <c r="AP98" s="68"/>
      <c r="AQ98" s="68"/>
      <c r="AR98" s="346"/>
      <c r="AS98" s="68"/>
      <c r="AT98" s="68"/>
      <c r="AU98" s="68"/>
      <c r="AV98" s="68"/>
      <c r="AW98" s="86"/>
      <c r="AX98" s="68"/>
      <c r="AY98" s="343"/>
    </row>
    <row r="99" spans="2:51" s="640" customFormat="1" ht="13.5" thickBot="1">
      <c r="B99" s="637" t="s">
        <v>321</v>
      </c>
      <c r="C99" s="638"/>
      <c r="D99" s="637"/>
      <c r="E99" s="637"/>
      <c r="F99" s="637"/>
      <c r="G99" s="638">
        <f t="shared" ref="G99:H99" si="14">SUM(G59,G74,G83,G90,G97)</f>
        <v>14578482</v>
      </c>
      <c r="H99" s="638">
        <f t="shared" si="14"/>
        <v>247517</v>
      </c>
      <c r="I99" s="638"/>
      <c r="J99" s="638">
        <f>SUM(J59,J74,J83,J90,J97)</f>
        <v>521739300.28999358</v>
      </c>
      <c r="K99" s="638"/>
      <c r="L99" s="638"/>
      <c r="M99" s="638">
        <f>SUM(M59,M74,M83,M90,M97)</f>
        <v>13426097</v>
      </c>
      <c r="N99" s="638">
        <f>SUM(N59,N74,N83,N90,N97)</f>
        <v>128929</v>
      </c>
      <c r="O99" s="638"/>
      <c r="P99" s="638">
        <f>SUM(P59,P74,P83,P90,P97)</f>
        <v>532538699.56999445</v>
      </c>
      <c r="Q99" s="638"/>
      <c r="R99" s="638"/>
      <c r="S99" s="638"/>
      <c r="T99" s="638">
        <f t="shared" ref="T99:U99" si="15">SUM(T59,T74,T83,T90,T97)</f>
        <v>71724595</v>
      </c>
      <c r="U99" s="638">
        <f t="shared" si="15"/>
        <v>267198</v>
      </c>
      <c r="V99" s="638"/>
      <c r="W99" s="638">
        <f>SUM(W59,W74,W83,W90,W97)</f>
        <v>1514603541.1199996</v>
      </c>
      <c r="X99" s="638"/>
      <c r="Y99" s="638"/>
      <c r="Z99" s="638"/>
      <c r="AA99" s="638"/>
      <c r="AB99" s="638"/>
      <c r="AC99" s="638"/>
      <c r="AD99" s="638">
        <f>SUM(AD59,AD74,AD83,AD90,AD97)</f>
        <v>3028934922.5573997</v>
      </c>
      <c r="AE99" s="638"/>
      <c r="AF99" s="638"/>
      <c r="AG99" s="638"/>
      <c r="AH99" s="638"/>
      <c r="AI99" s="638"/>
      <c r="AJ99" s="638"/>
      <c r="AK99" s="638">
        <f>SUM(AK59,AK74,AK83,AK90,AK97)</f>
        <v>4427794812.0116482</v>
      </c>
      <c r="AL99" s="638"/>
      <c r="AM99" s="638"/>
      <c r="AN99" s="638"/>
      <c r="AO99" s="638"/>
      <c r="AP99" s="638"/>
      <c r="AQ99" s="638"/>
      <c r="AR99" s="638">
        <f>SUM(AR59,AR74,AR83,AR90,AR97)</f>
        <v>6571359593.0321827</v>
      </c>
      <c r="AS99" s="638"/>
      <c r="AT99" s="638"/>
      <c r="AU99" s="638"/>
      <c r="AV99" s="638"/>
      <c r="AW99" s="639"/>
      <c r="AX99" s="638"/>
      <c r="AY99" s="638">
        <f>SUM(AY59,AY74,AY83,AY90,AY97)</f>
        <v>9514623486.9308167</v>
      </c>
    </row>
    <row r="100" spans="2:51" ht="13" thickTop="1">
      <c r="G100" s="360"/>
      <c r="M100" s="360"/>
      <c r="T100" s="360"/>
      <c r="AK100" s="772">
        <f>(AK99-AD99)/AD99</f>
        <v>0.46183226950058032</v>
      </c>
      <c r="AR100" s="772">
        <f>(AR99-AK99)/AK99</f>
        <v>0.48411565396063694</v>
      </c>
      <c r="AY100" s="772">
        <f>(AY99-AR99)/AR99</f>
        <v>0.44789268525488518</v>
      </c>
    </row>
    <row r="101" spans="2:51">
      <c r="G101" s="360"/>
      <c r="M101" s="360"/>
      <c r="T101" s="360"/>
      <c r="AK101" s="772"/>
      <c r="AR101" s="772"/>
      <c r="AY101" s="772"/>
    </row>
    <row r="102" spans="2:51" ht="13">
      <c r="D102" s="361" t="s">
        <v>322</v>
      </c>
      <c r="AY102" s="574"/>
    </row>
    <row r="103" spans="2:51">
      <c r="B103" s="84"/>
      <c r="C103" s="83"/>
      <c r="D103" s="107" t="s">
        <v>294</v>
      </c>
      <c r="E103" s="108">
        <f t="shared" ref="E103:N106" si="16">SUMIF($D$5:$D$99,$D103,E$5:E$99)</f>
        <v>431</v>
      </c>
      <c r="F103" s="108">
        <f t="shared" si="16"/>
        <v>0</v>
      </c>
      <c r="G103" s="108">
        <f t="shared" si="16"/>
        <v>14578482</v>
      </c>
      <c r="H103" s="108">
        <f t="shared" si="16"/>
        <v>55585</v>
      </c>
      <c r="I103" s="108">
        <f t="shared" si="16"/>
        <v>154597.0836760258</v>
      </c>
      <c r="J103" s="331">
        <f t="shared" si="16"/>
        <v>429417167.61999267</v>
      </c>
      <c r="K103" s="109">
        <f t="shared" si="16"/>
        <v>385</v>
      </c>
      <c r="L103" s="109">
        <f t="shared" si="16"/>
        <v>0</v>
      </c>
      <c r="M103" s="109">
        <f t="shared" si="16"/>
        <v>13426097</v>
      </c>
      <c r="N103" s="109">
        <f>SUMIF($D$5:$D$99,$D103,N$5:N$99)</f>
        <v>50515</v>
      </c>
      <c r="O103" s="109">
        <f t="shared" ref="O103:W106" si="17">SUMIF($D$5:$D$99,$D103,O$5:O$99)</f>
        <v>175803.89333400741</v>
      </c>
      <c r="P103" s="331">
        <f t="shared" si="17"/>
        <v>433118949.23999441</v>
      </c>
      <c r="Q103" s="109">
        <f t="shared" si="17"/>
        <v>669</v>
      </c>
      <c r="R103" s="109">
        <f t="shared" si="17"/>
        <v>527</v>
      </c>
      <c r="S103" s="109">
        <f t="shared" si="17"/>
        <v>142.00000000000003</v>
      </c>
      <c r="T103" s="109">
        <f t="shared" si="17"/>
        <v>71724595</v>
      </c>
      <c r="U103" s="109">
        <f t="shared" si="17"/>
        <v>158632</v>
      </c>
      <c r="V103" s="109">
        <f t="shared" si="17"/>
        <v>140048.89386806617</v>
      </c>
      <c r="W103" s="331">
        <f t="shared" si="17"/>
        <v>1441605305.4299998</v>
      </c>
      <c r="X103" s="109"/>
      <c r="Y103" s="109"/>
      <c r="Z103" s="109"/>
      <c r="AA103" s="109"/>
      <c r="AB103" s="109"/>
      <c r="AC103" s="109"/>
      <c r="AD103" s="331">
        <f>SUMIF($D$5:$D$99,$D103,AD$5:AD$99)</f>
        <v>2443056938.0459199</v>
      </c>
      <c r="AE103" s="109"/>
      <c r="AF103" s="109"/>
      <c r="AG103" s="109"/>
      <c r="AH103" s="109"/>
      <c r="AI103" s="109"/>
      <c r="AJ103" s="109"/>
      <c r="AK103" s="331">
        <f t="shared" ref="AK103:AK106" si="18">SUMIF($D$5:$D$99,$D103,AK$5:AK$99)</f>
        <v>3155777368.408154</v>
      </c>
      <c r="AL103" s="109"/>
      <c r="AM103" s="109"/>
      <c r="AN103" s="109"/>
      <c r="AO103" s="109"/>
      <c r="AP103" s="109"/>
      <c r="AQ103" s="109"/>
      <c r="AR103" s="331">
        <f t="shared" ref="AR103:AR106" si="19">SUMIF($D$5:$D$99,$D103,AR$5:AR$99)</f>
        <v>4066051755.8193107</v>
      </c>
      <c r="AS103" s="109"/>
      <c r="AT103" s="109"/>
      <c r="AU103" s="109"/>
      <c r="AV103" s="109"/>
      <c r="AW103" s="109"/>
      <c r="AX103" s="109"/>
      <c r="AY103" s="349">
        <f t="shared" ref="AY103:AY106" si="20">SUMIF($D$5:$D$99,$D103,AY$5:AY$99)</f>
        <v>4977219243.4654083</v>
      </c>
    </row>
    <row r="104" spans="2:51">
      <c r="B104" s="84"/>
      <c r="C104" s="83"/>
      <c r="D104" s="110" t="s">
        <v>295</v>
      </c>
      <c r="E104" s="111">
        <f t="shared" si="16"/>
        <v>93</v>
      </c>
      <c r="F104" s="111">
        <f t="shared" si="16"/>
        <v>0</v>
      </c>
      <c r="G104" s="111">
        <f t="shared" si="16"/>
        <v>0</v>
      </c>
      <c r="H104" s="111">
        <f t="shared" si="16"/>
        <v>1299</v>
      </c>
      <c r="I104" s="111">
        <f t="shared" si="16"/>
        <v>72530.060572267976</v>
      </c>
      <c r="J104" s="324">
        <f t="shared" si="16"/>
        <v>6982248.4900000114</v>
      </c>
      <c r="K104" s="112">
        <f t="shared" si="16"/>
        <v>65</v>
      </c>
      <c r="L104" s="112">
        <f t="shared" si="16"/>
        <v>0</v>
      </c>
      <c r="M104" s="112">
        <f t="shared" si="16"/>
        <v>0</v>
      </c>
      <c r="N104" s="112">
        <f t="shared" si="16"/>
        <v>996</v>
      </c>
      <c r="O104" s="112">
        <f t="shared" si="17"/>
        <v>365478.11824491154</v>
      </c>
      <c r="P104" s="324">
        <f t="shared" si="17"/>
        <v>9227930.3499999922</v>
      </c>
      <c r="Q104" s="112">
        <f t="shared" si="17"/>
        <v>55</v>
      </c>
      <c r="R104" s="112">
        <f t="shared" si="17"/>
        <v>55</v>
      </c>
      <c r="S104" s="112">
        <f t="shared" si="17"/>
        <v>0</v>
      </c>
      <c r="T104" s="112">
        <f t="shared" si="17"/>
        <v>0</v>
      </c>
      <c r="U104" s="112">
        <f t="shared" si="17"/>
        <v>601</v>
      </c>
      <c r="V104" s="112">
        <f t="shared" si="17"/>
        <v>831707.06011143641</v>
      </c>
      <c r="W104" s="324">
        <f t="shared" si="17"/>
        <v>12448382.660000004</v>
      </c>
      <c r="X104" s="112"/>
      <c r="Y104" s="112"/>
      <c r="Z104" s="112"/>
      <c r="AA104" s="112"/>
      <c r="AB104" s="112"/>
      <c r="AC104" s="112"/>
      <c r="AD104" s="324">
        <f t="shared" ref="AD104:AD106" si="21">SUMIF($D$5:$D$99,$D104,AD$5:AD$99)</f>
        <v>194645994.83715999</v>
      </c>
      <c r="AE104" s="112"/>
      <c r="AF104" s="112"/>
      <c r="AG104" s="112"/>
      <c r="AH104" s="112"/>
      <c r="AI104" s="112"/>
      <c r="AJ104" s="112"/>
      <c r="AK104" s="324">
        <f t="shared" si="18"/>
        <v>421092481.20116514</v>
      </c>
      <c r="AL104" s="112"/>
      <c r="AM104" s="112"/>
      <c r="AN104" s="112"/>
      <c r="AO104" s="112"/>
      <c r="AP104" s="112"/>
      <c r="AQ104" s="112"/>
      <c r="AR104" s="324">
        <f t="shared" si="19"/>
        <v>832235945.73762453</v>
      </c>
      <c r="AS104" s="112"/>
      <c r="AT104" s="112"/>
      <c r="AU104" s="112"/>
      <c r="AV104" s="112"/>
      <c r="AW104" s="112"/>
      <c r="AX104" s="112"/>
      <c r="AY104" s="350">
        <f t="shared" si="20"/>
        <v>1509151414.4884698</v>
      </c>
    </row>
    <row r="105" spans="2:51">
      <c r="B105" s="84"/>
      <c r="C105" s="83"/>
      <c r="D105" s="113" t="s">
        <v>296</v>
      </c>
      <c r="E105" s="111">
        <f t="shared" si="16"/>
        <v>103</v>
      </c>
      <c r="F105" s="111">
        <f t="shared" si="16"/>
        <v>0</v>
      </c>
      <c r="G105" s="111">
        <f t="shared" si="16"/>
        <v>0</v>
      </c>
      <c r="H105" s="111">
        <f t="shared" si="16"/>
        <v>1817</v>
      </c>
      <c r="I105" s="111">
        <f t="shared" si="16"/>
        <v>124277.70350684381</v>
      </c>
      <c r="J105" s="324">
        <f t="shared" si="16"/>
        <v>18241027.820000008</v>
      </c>
      <c r="K105" s="112">
        <f t="shared" si="16"/>
        <v>113</v>
      </c>
      <c r="L105" s="112">
        <f t="shared" si="16"/>
        <v>0</v>
      </c>
      <c r="M105" s="112">
        <f t="shared" si="16"/>
        <v>0</v>
      </c>
      <c r="N105" s="112">
        <f t="shared" si="16"/>
        <v>675</v>
      </c>
      <c r="O105" s="112">
        <f t="shared" si="17"/>
        <v>684047.92740259471</v>
      </c>
      <c r="P105" s="324">
        <f t="shared" si="17"/>
        <v>22784436.18</v>
      </c>
      <c r="Q105" s="112">
        <f t="shared" si="17"/>
        <v>181</v>
      </c>
      <c r="R105" s="112">
        <f t="shared" si="17"/>
        <v>181</v>
      </c>
      <c r="S105" s="112">
        <f t="shared" si="17"/>
        <v>0</v>
      </c>
      <c r="T105" s="112">
        <f t="shared" si="17"/>
        <v>0</v>
      </c>
      <c r="U105" s="112">
        <f t="shared" si="17"/>
        <v>1022</v>
      </c>
      <c r="V105" s="112">
        <f t="shared" si="17"/>
        <v>734920.85898174741</v>
      </c>
      <c r="W105" s="324">
        <f t="shared" si="17"/>
        <v>36277073.219999999</v>
      </c>
      <c r="X105" s="112"/>
      <c r="Y105" s="112"/>
      <c r="Z105" s="112"/>
      <c r="AA105" s="112"/>
      <c r="AB105" s="112"/>
      <c r="AC105" s="112"/>
      <c r="AD105" s="324">
        <f t="shared" si="21"/>
        <v>196535994.83715999</v>
      </c>
      <c r="AE105" s="112"/>
      <c r="AF105" s="112"/>
      <c r="AG105" s="112"/>
      <c r="AH105" s="112"/>
      <c r="AI105" s="112"/>
      <c r="AJ105" s="112"/>
      <c r="AK105" s="324">
        <f t="shared" si="18"/>
        <v>429772481.20116514</v>
      </c>
      <c r="AL105" s="112"/>
      <c r="AM105" s="112"/>
      <c r="AN105" s="112"/>
      <c r="AO105" s="112"/>
      <c r="AP105" s="112"/>
      <c r="AQ105" s="112"/>
      <c r="AR105" s="324">
        <f t="shared" si="19"/>
        <v>840795945.73762453</v>
      </c>
      <c r="AS105" s="112"/>
      <c r="AT105" s="112"/>
      <c r="AU105" s="112"/>
      <c r="AV105" s="112"/>
      <c r="AW105" s="112"/>
      <c r="AX105" s="112"/>
      <c r="AY105" s="350">
        <f t="shared" si="20"/>
        <v>1519491414.4884698</v>
      </c>
    </row>
    <row r="106" spans="2:51">
      <c r="B106" s="84"/>
      <c r="C106" s="83"/>
      <c r="D106" s="159" t="s">
        <v>297</v>
      </c>
      <c r="E106" s="114">
        <f t="shared" si="16"/>
        <v>616</v>
      </c>
      <c r="F106" s="114">
        <f t="shared" si="16"/>
        <v>0</v>
      </c>
      <c r="G106" s="114">
        <f t="shared" si="16"/>
        <v>0</v>
      </c>
      <c r="H106" s="114">
        <f t="shared" si="16"/>
        <v>188816</v>
      </c>
      <c r="I106" s="114">
        <f t="shared" si="16"/>
        <v>22980.913833819017</v>
      </c>
      <c r="J106" s="332">
        <f t="shared" si="16"/>
        <v>67098856.360000789</v>
      </c>
      <c r="K106" s="115">
        <f t="shared" si="16"/>
        <v>531</v>
      </c>
      <c r="L106" s="115">
        <f t="shared" si="16"/>
        <v>0</v>
      </c>
      <c r="M106" s="115">
        <f t="shared" si="16"/>
        <v>0</v>
      </c>
      <c r="N106" s="115">
        <f t="shared" si="16"/>
        <v>76743</v>
      </c>
      <c r="O106" s="115">
        <f t="shared" si="17"/>
        <v>19804.268147883275</v>
      </c>
      <c r="P106" s="332">
        <f t="shared" si="17"/>
        <v>67407383.800000057</v>
      </c>
      <c r="Q106" s="115">
        <f t="shared" si="17"/>
        <v>507</v>
      </c>
      <c r="R106" s="115">
        <f t="shared" si="17"/>
        <v>507</v>
      </c>
      <c r="S106" s="115">
        <f t="shared" si="17"/>
        <v>0</v>
      </c>
      <c r="T106" s="115">
        <f t="shared" si="17"/>
        <v>0</v>
      </c>
      <c r="U106" s="115">
        <f t="shared" si="17"/>
        <v>106943</v>
      </c>
      <c r="V106" s="115">
        <f t="shared" si="17"/>
        <v>117950.22881747709</v>
      </c>
      <c r="W106" s="332">
        <f t="shared" si="17"/>
        <v>24272779.809999995</v>
      </c>
      <c r="X106" s="115"/>
      <c r="Y106" s="115"/>
      <c r="Z106" s="115"/>
      <c r="AA106" s="115"/>
      <c r="AB106" s="115"/>
      <c r="AC106" s="115"/>
      <c r="AD106" s="332">
        <f t="shared" si="21"/>
        <v>194695994.83715999</v>
      </c>
      <c r="AE106" s="115"/>
      <c r="AF106" s="115"/>
      <c r="AG106" s="115"/>
      <c r="AH106" s="115"/>
      <c r="AI106" s="115"/>
      <c r="AJ106" s="115"/>
      <c r="AK106" s="332">
        <f t="shared" si="18"/>
        <v>421152481.20116514</v>
      </c>
      <c r="AL106" s="115"/>
      <c r="AM106" s="115"/>
      <c r="AN106" s="115"/>
      <c r="AO106" s="115"/>
      <c r="AP106" s="115"/>
      <c r="AQ106" s="115"/>
      <c r="AR106" s="332">
        <f t="shared" si="19"/>
        <v>832275945.73762453</v>
      </c>
      <c r="AS106" s="115"/>
      <c r="AT106" s="115"/>
      <c r="AU106" s="115"/>
      <c r="AV106" s="115"/>
      <c r="AW106" s="115"/>
      <c r="AX106" s="115"/>
      <c r="AY106" s="351">
        <f t="shared" si="20"/>
        <v>1508761414.4884698</v>
      </c>
    </row>
    <row r="107" spans="2:51" ht="13.5" thickBot="1">
      <c r="B107" s="84"/>
      <c r="C107" s="83"/>
      <c r="D107" s="116" t="s">
        <v>323</v>
      </c>
      <c r="E107" s="117">
        <f>SUM(E103:E106)</f>
        <v>1243</v>
      </c>
      <c r="F107" s="117">
        <f>SUM(F103:F106)</f>
        <v>0</v>
      </c>
      <c r="G107" s="117"/>
      <c r="H107" s="118"/>
      <c r="I107" s="118"/>
      <c r="J107" s="333">
        <f>SUM(J103:J106)</f>
        <v>521739300.28999346</v>
      </c>
      <c r="K107" s="117">
        <f>SUM(K103:K106)</f>
        <v>1094</v>
      </c>
      <c r="L107" s="117">
        <f>SUM(L103:L106)</f>
        <v>0</v>
      </c>
      <c r="M107" s="118"/>
      <c r="N107" s="118"/>
      <c r="O107" s="118"/>
      <c r="P107" s="333">
        <f>SUM(P103:P106)</f>
        <v>532538699.56999445</v>
      </c>
      <c r="Q107" s="117">
        <f>SUM(Q103:Q106)</f>
        <v>1412</v>
      </c>
      <c r="R107" s="117">
        <f>SUM(R103:R106)</f>
        <v>1270</v>
      </c>
      <c r="S107" s="118">
        <f>SUM(S103:S106)</f>
        <v>142.00000000000003</v>
      </c>
      <c r="T107" s="118">
        <f>SUM(T103:T106)</f>
        <v>71724595</v>
      </c>
      <c r="U107" s="118"/>
      <c r="V107" s="118"/>
      <c r="W107" s="333">
        <f>SUM(W103:W106)</f>
        <v>1514603541.1199999</v>
      </c>
      <c r="X107" s="117"/>
      <c r="Y107" s="117"/>
      <c r="Z107" s="118"/>
      <c r="AA107" s="118"/>
      <c r="AB107" s="118"/>
      <c r="AC107" s="118"/>
      <c r="AD107" s="333">
        <f>SUM(AD103:AD106)</f>
        <v>3028934922.5574002</v>
      </c>
      <c r="AE107" s="117"/>
      <c r="AF107" s="117"/>
      <c r="AG107" s="118"/>
      <c r="AH107" s="118"/>
      <c r="AI107" s="118"/>
      <c r="AJ107" s="118"/>
      <c r="AK107" s="333">
        <f>SUM(AK103:AK106)</f>
        <v>4427794812.0116491</v>
      </c>
      <c r="AL107" s="117"/>
      <c r="AM107" s="117"/>
      <c r="AN107" s="118"/>
      <c r="AO107" s="118"/>
      <c r="AP107" s="118"/>
      <c r="AQ107" s="118"/>
      <c r="AR107" s="333">
        <f>SUM(AR103:AR106)</f>
        <v>6571359593.0321836</v>
      </c>
      <c r="AS107" s="117"/>
      <c r="AT107" s="117"/>
      <c r="AU107" s="117"/>
      <c r="AV107" s="118"/>
      <c r="AW107" s="118"/>
      <c r="AX107" s="118"/>
      <c r="AY107" s="352">
        <f>SUM(AY103:AY106)</f>
        <v>9514623486.9308186</v>
      </c>
    </row>
    <row r="108" spans="2:51" ht="13" thickTop="1">
      <c r="D108" s="226" t="s">
        <v>176</v>
      </c>
      <c r="E108" s="226"/>
      <c r="F108" s="226"/>
      <c r="G108" s="226"/>
      <c r="H108" s="180"/>
      <c r="I108" s="180"/>
      <c r="J108" s="180">
        <f>J107-J99</f>
        <v>0</v>
      </c>
      <c r="K108" s="180"/>
      <c r="L108" s="180"/>
      <c r="M108" s="180"/>
      <c r="N108" s="180"/>
      <c r="O108" s="180"/>
      <c r="P108" s="180">
        <f>P107-P99</f>
        <v>0</v>
      </c>
      <c r="Q108" s="180"/>
      <c r="R108" s="180"/>
      <c r="S108" s="180"/>
      <c r="T108" s="180"/>
      <c r="U108" s="180"/>
      <c r="V108" s="180"/>
      <c r="W108" s="180">
        <f>W107-W99</f>
        <v>0</v>
      </c>
      <c r="X108" s="180"/>
      <c r="Y108" s="180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0"/>
      <c r="AJ108" s="180"/>
      <c r="AK108" s="180">
        <f>AK107-AK99</f>
        <v>0</v>
      </c>
      <c r="AL108" s="180"/>
      <c r="AM108" s="180"/>
      <c r="AN108" s="180"/>
      <c r="AO108" s="180"/>
      <c r="AP108" s="180"/>
      <c r="AQ108" s="180"/>
      <c r="AR108" s="180">
        <f>AR107-AR99</f>
        <v>0</v>
      </c>
      <c r="AS108" s="180"/>
      <c r="AT108" s="180"/>
      <c r="AU108" s="180"/>
      <c r="AV108" s="180"/>
      <c r="AW108" s="180"/>
      <c r="AX108" s="180"/>
      <c r="AY108" s="180">
        <f>AY107-AY99</f>
        <v>0</v>
      </c>
    </row>
    <row r="109" spans="2:51" s="885" customFormat="1">
      <c r="B109" s="884"/>
      <c r="D109" s="886"/>
      <c r="E109" s="886"/>
      <c r="F109" s="886"/>
      <c r="G109" s="886"/>
      <c r="H109" s="887"/>
      <c r="I109" s="887"/>
      <c r="J109" s="887"/>
      <c r="K109" s="887"/>
      <c r="L109" s="887"/>
      <c r="M109" s="887"/>
      <c r="N109" s="887"/>
      <c r="O109" s="887"/>
      <c r="P109" s="887"/>
      <c r="Q109" s="887"/>
      <c r="R109" s="887"/>
      <c r="S109" s="887"/>
      <c r="T109" s="887"/>
      <c r="U109" s="887"/>
      <c r="V109" s="887"/>
      <c r="W109" s="887"/>
      <c r="X109" s="887"/>
      <c r="Y109" s="887"/>
      <c r="Z109" s="887"/>
      <c r="AA109" s="887"/>
      <c r="AB109" s="887"/>
      <c r="AC109" s="887"/>
      <c r="AD109" s="888">
        <f>(AD107-W107)/W107</f>
        <v>0.99982030962214818</v>
      </c>
      <c r="AE109" s="887"/>
      <c r="AF109" s="887"/>
      <c r="AG109" s="887"/>
      <c r="AH109" s="887"/>
      <c r="AI109" s="887"/>
      <c r="AJ109" s="887"/>
      <c r="AK109" s="888">
        <f>(AK107-AD107)/AD107</f>
        <v>0.46183226950058043</v>
      </c>
      <c r="AL109" s="887"/>
      <c r="AM109" s="887"/>
      <c r="AN109" s="887"/>
      <c r="AO109" s="887"/>
      <c r="AP109" s="887"/>
      <c r="AQ109" s="887"/>
      <c r="AR109" s="888">
        <f>(AR107-AK107)/AK107</f>
        <v>0.48411565396063683</v>
      </c>
      <c r="AS109" s="887"/>
      <c r="AT109" s="887"/>
      <c r="AU109" s="887"/>
      <c r="AV109" s="887"/>
      <c r="AW109" s="887"/>
      <c r="AX109" s="887"/>
      <c r="AY109" s="888">
        <f>(AY107-AR107)/AR107</f>
        <v>0.44789268525488529</v>
      </c>
    </row>
    <row r="110" spans="2:51" ht="13">
      <c r="D110" s="364" t="s">
        <v>324</v>
      </c>
      <c r="E110" s="307"/>
      <c r="F110" s="307"/>
      <c r="G110" s="307"/>
      <c r="H110" s="362"/>
      <c r="I110" s="362"/>
      <c r="J110" s="362"/>
      <c r="K110" s="362"/>
      <c r="L110" s="362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  <c r="Z110" s="362"/>
      <c r="AA110" s="362"/>
      <c r="AB110" s="362"/>
      <c r="AC110" s="362"/>
      <c r="AD110" s="362"/>
      <c r="AE110" s="362"/>
      <c r="AF110" s="362"/>
      <c r="AG110" s="362"/>
      <c r="AH110" s="362"/>
      <c r="AI110" s="362"/>
      <c r="AJ110" s="362"/>
      <c r="AK110" s="362"/>
      <c r="AL110" s="362"/>
      <c r="AM110" s="362"/>
      <c r="AN110" s="362"/>
      <c r="AO110" s="362"/>
      <c r="AP110" s="362"/>
      <c r="AQ110" s="362"/>
      <c r="AR110" s="362"/>
      <c r="AS110" s="362"/>
      <c r="AT110" s="362"/>
      <c r="AU110" s="362"/>
      <c r="AV110" s="362"/>
      <c r="AW110" s="362"/>
      <c r="AX110" s="362"/>
      <c r="AY110" s="362"/>
    </row>
    <row r="111" spans="2:51">
      <c r="D111" s="177" t="s">
        <v>292</v>
      </c>
      <c r="E111" s="179">
        <f t="shared" ref="E111:AS111" si="22">E55</f>
        <v>1243</v>
      </c>
      <c r="F111" s="179">
        <f t="shared" si="22"/>
        <v>0</v>
      </c>
      <c r="G111" s="179">
        <f t="shared" si="22"/>
        <v>11677230</v>
      </c>
      <c r="H111" s="179">
        <f t="shared" si="22"/>
        <v>180285</v>
      </c>
      <c r="I111" s="179">
        <f t="shared" si="22"/>
        <v>0</v>
      </c>
      <c r="J111" s="334">
        <f>J59</f>
        <v>364811363.77999985</v>
      </c>
      <c r="K111" s="179">
        <f t="shared" si="22"/>
        <v>1094</v>
      </c>
      <c r="L111" s="179">
        <f t="shared" si="22"/>
        <v>0</v>
      </c>
      <c r="M111" s="179">
        <f t="shared" si="22"/>
        <v>11017185</v>
      </c>
      <c r="N111" s="179">
        <f t="shared" si="22"/>
        <v>89855</v>
      </c>
      <c r="O111" s="179">
        <f t="shared" si="22"/>
        <v>0</v>
      </c>
      <c r="P111" s="334">
        <f>P59</f>
        <v>376390830.32999998</v>
      </c>
      <c r="Q111" s="179">
        <f t="shared" si="22"/>
        <v>1412</v>
      </c>
      <c r="R111" s="179">
        <f t="shared" si="22"/>
        <v>1270.0000000000002</v>
      </c>
      <c r="S111" s="179">
        <f t="shared" si="22"/>
        <v>142</v>
      </c>
      <c r="T111" s="179">
        <f t="shared" si="22"/>
        <v>66770700</v>
      </c>
      <c r="U111" s="179">
        <f t="shared" si="22"/>
        <v>157994</v>
      </c>
      <c r="V111" s="179">
        <f t="shared" si="22"/>
        <v>1348093.4095074497</v>
      </c>
      <c r="W111" s="334">
        <f>W59</f>
        <v>1343810637.2899997</v>
      </c>
      <c r="X111" s="179">
        <f t="shared" si="22"/>
        <v>1553</v>
      </c>
      <c r="Y111" s="179">
        <f t="shared" si="22"/>
        <v>1397</v>
      </c>
      <c r="Z111" s="179">
        <f t="shared" si="22"/>
        <v>156</v>
      </c>
      <c r="AA111" s="179"/>
      <c r="AB111" s="179"/>
      <c r="AC111" s="179"/>
      <c r="AD111" s="334">
        <f>AD59</f>
        <v>2765039922.5573997</v>
      </c>
      <c r="AE111" s="179">
        <f t="shared" si="22"/>
        <v>1708</v>
      </c>
      <c r="AF111" s="179">
        <f t="shared" si="22"/>
        <v>1537</v>
      </c>
      <c r="AG111" s="179">
        <f t="shared" si="22"/>
        <v>171</v>
      </c>
      <c r="AH111" s="179"/>
      <c r="AI111" s="179"/>
      <c r="AJ111" s="179"/>
      <c r="AK111" s="334">
        <f>AK59</f>
        <v>4076824812.0116482</v>
      </c>
      <c r="AL111" s="179">
        <f t="shared" si="22"/>
        <v>1879</v>
      </c>
      <c r="AM111" s="179">
        <f t="shared" si="22"/>
        <v>1691</v>
      </c>
      <c r="AN111" s="179">
        <f t="shared" si="22"/>
        <v>188</v>
      </c>
      <c r="AO111" s="179"/>
      <c r="AP111" s="179"/>
      <c r="AQ111" s="179"/>
      <c r="AR111" s="334">
        <f>AR59</f>
        <v>6110669593.0321827</v>
      </c>
      <c r="AS111" s="179">
        <f t="shared" si="22"/>
        <v>2067</v>
      </c>
      <c r="AT111" s="179">
        <f t="shared" ref="AT111" si="23">AT55</f>
        <v>1860</v>
      </c>
      <c r="AU111" s="179">
        <f>AU55</f>
        <v>207</v>
      </c>
      <c r="AV111" s="179"/>
      <c r="AW111" s="179"/>
      <c r="AX111" s="179"/>
      <c r="AY111" s="987">
        <f>AY59</f>
        <v>8915888486.9308167</v>
      </c>
    </row>
    <row r="112" spans="2:51">
      <c r="D112" s="177" t="s">
        <v>316</v>
      </c>
      <c r="E112" s="179">
        <f t="shared" ref="E112:AS112" si="24">E74</f>
        <v>0</v>
      </c>
      <c r="F112" s="179">
        <f t="shared" si="24"/>
        <v>0</v>
      </c>
      <c r="G112" s="179">
        <f t="shared" si="24"/>
        <v>300430</v>
      </c>
      <c r="H112" s="179">
        <f t="shared" si="24"/>
        <v>1082</v>
      </c>
      <c r="I112" s="179">
        <f t="shared" si="24"/>
        <v>0</v>
      </c>
      <c r="J112" s="335">
        <f t="shared" si="24"/>
        <v>16376436.359999999</v>
      </c>
      <c r="K112" s="179">
        <f t="shared" si="24"/>
        <v>0</v>
      </c>
      <c r="L112" s="179">
        <f t="shared" si="24"/>
        <v>0</v>
      </c>
      <c r="M112" s="179">
        <f t="shared" si="24"/>
        <v>33110</v>
      </c>
      <c r="N112" s="179">
        <f t="shared" si="24"/>
        <v>1129</v>
      </c>
      <c r="O112" s="179">
        <f t="shared" si="24"/>
        <v>0</v>
      </c>
      <c r="P112" s="335">
        <f t="shared" si="24"/>
        <v>9525845.3599999994</v>
      </c>
      <c r="Q112" s="179">
        <f t="shared" si="24"/>
        <v>0</v>
      </c>
      <c r="R112" s="179">
        <f t="shared" si="24"/>
        <v>0</v>
      </c>
      <c r="S112" s="179">
        <f t="shared" si="24"/>
        <v>0</v>
      </c>
      <c r="T112" s="179">
        <f t="shared" si="24"/>
        <v>2750</v>
      </c>
      <c r="U112" s="179">
        <f t="shared" si="24"/>
        <v>224</v>
      </c>
      <c r="V112" s="179">
        <f t="shared" si="24"/>
        <v>0</v>
      </c>
      <c r="W112" s="335">
        <f t="shared" si="24"/>
        <v>510607.89</v>
      </c>
      <c r="X112" s="179">
        <f t="shared" si="24"/>
        <v>0</v>
      </c>
      <c r="Y112" s="179">
        <f t="shared" si="24"/>
        <v>0</v>
      </c>
      <c r="Z112" s="179">
        <f t="shared" si="24"/>
        <v>0</v>
      </c>
      <c r="AA112" s="179"/>
      <c r="AB112" s="179"/>
      <c r="AC112" s="179"/>
      <c r="AD112" s="335">
        <f t="shared" si="24"/>
        <v>10625000</v>
      </c>
      <c r="AE112" s="179">
        <f t="shared" si="24"/>
        <v>0</v>
      </c>
      <c r="AF112" s="179">
        <f t="shared" si="24"/>
        <v>0</v>
      </c>
      <c r="AG112" s="179">
        <f t="shared" si="24"/>
        <v>0</v>
      </c>
      <c r="AH112" s="179"/>
      <c r="AI112" s="179"/>
      <c r="AJ112" s="179"/>
      <c r="AK112" s="335">
        <f t="shared" si="24"/>
        <v>12890000</v>
      </c>
      <c r="AL112" s="179">
        <f t="shared" si="24"/>
        <v>0</v>
      </c>
      <c r="AM112" s="179">
        <f t="shared" si="24"/>
        <v>0</v>
      </c>
      <c r="AN112" s="179">
        <f t="shared" si="24"/>
        <v>0</v>
      </c>
      <c r="AO112" s="179"/>
      <c r="AP112" s="179"/>
      <c r="AQ112" s="179"/>
      <c r="AR112" s="335">
        <f t="shared" si="24"/>
        <v>15840000</v>
      </c>
      <c r="AS112" s="179">
        <f t="shared" si="24"/>
        <v>0</v>
      </c>
      <c r="AT112" s="179">
        <f t="shared" ref="AT112" si="25">AT74</f>
        <v>0</v>
      </c>
      <c r="AU112" s="179">
        <f>AU74</f>
        <v>0</v>
      </c>
      <c r="AV112" s="179"/>
      <c r="AW112" s="179"/>
      <c r="AX112" s="179"/>
      <c r="AY112" s="354">
        <f>AY74</f>
        <v>20735000</v>
      </c>
    </row>
    <row r="113" spans="2:51">
      <c r="D113" s="177" t="s">
        <v>318</v>
      </c>
      <c r="E113" s="179">
        <f t="shared" ref="E113:AS113" si="26">E83</f>
        <v>0</v>
      </c>
      <c r="F113" s="179">
        <f t="shared" si="26"/>
        <v>0</v>
      </c>
      <c r="G113" s="179">
        <f t="shared" si="26"/>
        <v>345472</v>
      </c>
      <c r="H113" s="179">
        <f t="shared" si="26"/>
        <v>13144</v>
      </c>
      <c r="I113" s="179">
        <f t="shared" si="26"/>
        <v>0</v>
      </c>
      <c r="J113" s="335">
        <f t="shared" si="26"/>
        <v>16533045.729999995</v>
      </c>
      <c r="K113" s="179">
        <f t="shared" si="26"/>
        <v>0</v>
      </c>
      <c r="L113" s="179">
        <f t="shared" si="26"/>
        <v>0</v>
      </c>
      <c r="M113" s="179">
        <f t="shared" si="26"/>
        <v>251227</v>
      </c>
      <c r="N113" s="179">
        <f t="shared" si="26"/>
        <v>12040</v>
      </c>
      <c r="O113" s="179">
        <f t="shared" si="26"/>
        <v>0</v>
      </c>
      <c r="P113" s="335">
        <f t="shared" si="26"/>
        <v>17535564.900000002</v>
      </c>
      <c r="Q113" s="179">
        <f t="shared" si="26"/>
        <v>0</v>
      </c>
      <c r="R113" s="179">
        <f t="shared" si="26"/>
        <v>0</v>
      </c>
      <c r="S113" s="179">
        <f t="shared" si="26"/>
        <v>0</v>
      </c>
      <c r="T113" s="179">
        <f t="shared" si="26"/>
        <v>975555</v>
      </c>
      <c r="U113" s="179">
        <f t="shared" si="26"/>
        <v>8826</v>
      </c>
      <c r="V113" s="179">
        <f t="shared" si="26"/>
        <v>0</v>
      </c>
      <c r="W113" s="335">
        <f t="shared" si="26"/>
        <v>35532173.369999997</v>
      </c>
      <c r="X113" s="179">
        <f t="shared" si="26"/>
        <v>0</v>
      </c>
      <c r="Y113" s="179">
        <f t="shared" si="26"/>
        <v>0</v>
      </c>
      <c r="Z113" s="179">
        <f t="shared" si="26"/>
        <v>0</v>
      </c>
      <c r="AA113" s="179"/>
      <c r="AB113" s="179"/>
      <c r="AC113" s="179"/>
      <c r="AD113" s="335">
        <f t="shared" si="26"/>
        <v>46200000</v>
      </c>
      <c r="AE113" s="179">
        <f t="shared" si="26"/>
        <v>0</v>
      </c>
      <c r="AF113" s="179">
        <f t="shared" si="26"/>
        <v>0</v>
      </c>
      <c r="AG113" s="179">
        <f t="shared" si="26"/>
        <v>0</v>
      </c>
      <c r="AH113" s="179"/>
      <c r="AI113" s="179"/>
      <c r="AJ113" s="179"/>
      <c r="AK113" s="335">
        <f t="shared" si="26"/>
        <v>60150000</v>
      </c>
      <c r="AL113" s="179">
        <f t="shared" si="26"/>
        <v>0</v>
      </c>
      <c r="AM113" s="179">
        <f t="shared" si="26"/>
        <v>0</v>
      </c>
      <c r="AN113" s="179">
        <f t="shared" si="26"/>
        <v>0</v>
      </c>
      <c r="AO113" s="179"/>
      <c r="AP113" s="179"/>
      <c r="AQ113" s="179"/>
      <c r="AR113" s="335">
        <f t="shared" si="26"/>
        <v>78750000</v>
      </c>
      <c r="AS113" s="179">
        <f t="shared" si="26"/>
        <v>0</v>
      </c>
      <c r="AT113" s="179">
        <f t="shared" ref="AT113" si="27">AT83</f>
        <v>0</v>
      </c>
      <c r="AU113" s="179">
        <f>AU83</f>
        <v>0</v>
      </c>
      <c r="AV113" s="179"/>
      <c r="AW113" s="179"/>
      <c r="AX113" s="179"/>
      <c r="AY113" s="354">
        <f>AY83</f>
        <v>103000000</v>
      </c>
    </row>
    <row r="114" spans="2:51">
      <c r="D114" s="177" t="s">
        <v>319</v>
      </c>
      <c r="E114" s="179">
        <f t="shared" ref="E114:AS114" si="28">E90</f>
        <v>0</v>
      </c>
      <c r="F114" s="179">
        <f t="shared" si="28"/>
        <v>0</v>
      </c>
      <c r="G114" s="179">
        <f t="shared" si="28"/>
        <v>16480</v>
      </c>
      <c r="H114" s="179">
        <f t="shared" si="28"/>
        <v>1873</v>
      </c>
      <c r="I114" s="179">
        <f t="shared" si="28"/>
        <v>0</v>
      </c>
      <c r="J114" s="335">
        <f t="shared" si="28"/>
        <v>1075316.6999999997</v>
      </c>
      <c r="K114" s="179">
        <f t="shared" si="28"/>
        <v>0</v>
      </c>
      <c r="L114" s="179">
        <f t="shared" si="28"/>
        <v>0</v>
      </c>
      <c r="M114" s="179">
        <f t="shared" si="28"/>
        <v>2490</v>
      </c>
      <c r="N114" s="179">
        <f t="shared" si="28"/>
        <v>359</v>
      </c>
      <c r="O114" s="179">
        <f t="shared" si="28"/>
        <v>0</v>
      </c>
      <c r="P114" s="335">
        <f t="shared" si="28"/>
        <v>223353.94999999998</v>
      </c>
      <c r="Q114" s="179">
        <f t="shared" si="28"/>
        <v>0</v>
      </c>
      <c r="R114" s="179">
        <f t="shared" si="28"/>
        <v>0</v>
      </c>
      <c r="S114" s="179">
        <f t="shared" si="28"/>
        <v>0</v>
      </c>
      <c r="T114" s="179">
        <f t="shared" si="28"/>
        <v>95405</v>
      </c>
      <c r="U114" s="179">
        <f t="shared" si="28"/>
        <v>682</v>
      </c>
      <c r="V114" s="179">
        <f t="shared" si="28"/>
        <v>0</v>
      </c>
      <c r="W114" s="335">
        <f t="shared" si="28"/>
        <v>4953538.3400000008</v>
      </c>
      <c r="X114" s="179">
        <f t="shared" si="28"/>
        <v>0</v>
      </c>
      <c r="Y114" s="179">
        <f t="shared" si="28"/>
        <v>0</v>
      </c>
      <c r="Z114" s="179">
        <f t="shared" si="28"/>
        <v>0</v>
      </c>
      <c r="AA114" s="179"/>
      <c r="AB114" s="179"/>
      <c r="AC114" s="179"/>
      <c r="AD114" s="335">
        <f t="shared" si="28"/>
        <v>10400000</v>
      </c>
      <c r="AE114" s="179">
        <f t="shared" si="28"/>
        <v>0</v>
      </c>
      <c r="AF114" s="179">
        <f t="shared" si="28"/>
        <v>0</v>
      </c>
      <c r="AG114" s="179">
        <f t="shared" si="28"/>
        <v>0</v>
      </c>
      <c r="AH114" s="179"/>
      <c r="AI114" s="179"/>
      <c r="AJ114" s="179"/>
      <c r="AK114" s="335">
        <f t="shared" si="28"/>
        <v>21900000</v>
      </c>
      <c r="AL114" s="179">
        <f t="shared" si="28"/>
        <v>0</v>
      </c>
      <c r="AM114" s="179">
        <f t="shared" si="28"/>
        <v>0</v>
      </c>
      <c r="AN114" s="179">
        <f t="shared" si="28"/>
        <v>0</v>
      </c>
      <c r="AO114" s="179"/>
      <c r="AP114" s="179"/>
      <c r="AQ114" s="179"/>
      <c r="AR114" s="335">
        <f t="shared" si="28"/>
        <v>32780000</v>
      </c>
      <c r="AS114" s="179">
        <f t="shared" si="28"/>
        <v>0</v>
      </c>
      <c r="AT114" s="179">
        <f t="shared" ref="AT114" si="29">AT90</f>
        <v>0</v>
      </c>
      <c r="AU114" s="179">
        <f>AU90</f>
        <v>0</v>
      </c>
      <c r="AV114" s="179"/>
      <c r="AW114" s="179"/>
      <c r="AX114" s="179"/>
      <c r="AY114" s="354">
        <f>AY90</f>
        <v>40910000</v>
      </c>
    </row>
    <row r="115" spans="2:51">
      <c r="D115" s="178" t="s">
        <v>320</v>
      </c>
      <c r="E115" s="179">
        <f t="shared" ref="E115:AS115" si="30">E97</f>
        <v>0</v>
      </c>
      <c r="F115" s="179">
        <f t="shared" si="30"/>
        <v>0</v>
      </c>
      <c r="G115" s="179">
        <f t="shared" si="30"/>
        <v>2238870</v>
      </c>
      <c r="H115" s="179">
        <f t="shared" si="30"/>
        <v>51133</v>
      </c>
      <c r="I115" s="179">
        <f t="shared" si="30"/>
        <v>0</v>
      </c>
      <c r="J115" s="335">
        <f t="shared" si="30"/>
        <v>122943137.7199937</v>
      </c>
      <c r="K115" s="179">
        <f t="shared" si="30"/>
        <v>0</v>
      </c>
      <c r="L115" s="179">
        <f t="shared" si="30"/>
        <v>0</v>
      </c>
      <c r="M115" s="179">
        <f t="shared" si="30"/>
        <v>2122085</v>
      </c>
      <c r="N115" s="179">
        <f t="shared" si="30"/>
        <v>25546</v>
      </c>
      <c r="O115" s="179">
        <f t="shared" si="30"/>
        <v>0</v>
      </c>
      <c r="P115" s="335">
        <f t="shared" si="30"/>
        <v>128863105.02999452</v>
      </c>
      <c r="Q115" s="179">
        <f t="shared" si="30"/>
        <v>0</v>
      </c>
      <c r="R115" s="179">
        <f t="shared" si="30"/>
        <v>0</v>
      </c>
      <c r="S115" s="179">
        <f t="shared" si="30"/>
        <v>0</v>
      </c>
      <c r="T115" s="179">
        <f t="shared" si="30"/>
        <v>3880185</v>
      </c>
      <c r="U115" s="179">
        <f t="shared" si="30"/>
        <v>99472</v>
      </c>
      <c r="V115" s="179">
        <f t="shared" si="30"/>
        <v>0</v>
      </c>
      <c r="W115" s="335">
        <f t="shared" si="30"/>
        <v>129796584.23</v>
      </c>
      <c r="X115" s="179">
        <f t="shared" si="30"/>
        <v>0</v>
      </c>
      <c r="Y115" s="179">
        <f t="shared" si="30"/>
        <v>0</v>
      </c>
      <c r="Z115" s="179">
        <f t="shared" si="30"/>
        <v>0</v>
      </c>
      <c r="AA115" s="179"/>
      <c r="AB115" s="179"/>
      <c r="AC115" s="179"/>
      <c r="AD115" s="335">
        <f t="shared" si="30"/>
        <v>196670000</v>
      </c>
      <c r="AE115" s="179">
        <f t="shared" si="30"/>
        <v>0</v>
      </c>
      <c r="AF115" s="179">
        <f t="shared" si="30"/>
        <v>0</v>
      </c>
      <c r="AG115" s="179">
        <f t="shared" si="30"/>
        <v>0</v>
      </c>
      <c r="AH115" s="179"/>
      <c r="AI115" s="179"/>
      <c r="AJ115" s="179"/>
      <c r="AK115" s="335">
        <f t="shared" si="30"/>
        <v>256030000</v>
      </c>
      <c r="AL115" s="179">
        <f t="shared" si="30"/>
        <v>0</v>
      </c>
      <c r="AM115" s="179">
        <f t="shared" si="30"/>
        <v>0</v>
      </c>
      <c r="AN115" s="179">
        <f t="shared" si="30"/>
        <v>0</v>
      </c>
      <c r="AO115" s="179"/>
      <c r="AP115" s="179"/>
      <c r="AQ115" s="179"/>
      <c r="AR115" s="335">
        <f t="shared" si="30"/>
        <v>333320000</v>
      </c>
      <c r="AS115" s="179">
        <f t="shared" si="30"/>
        <v>0</v>
      </c>
      <c r="AT115" s="179">
        <f t="shared" ref="AT115" si="31">AT97</f>
        <v>0</v>
      </c>
      <c r="AU115" s="179">
        <f>AU97</f>
        <v>0</v>
      </c>
      <c r="AV115" s="179"/>
      <c r="AW115" s="179"/>
      <c r="AX115" s="179"/>
      <c r="AY115" s="354">
        <f>AY97</f>
        <v>434090000</v>
      </c>
    </row>
    <row r="116" spans="2:51" ht="13.5" thickBot="1">
      <c r="D116" s="116" t="s">
        <v>323</v>
      </c>
      <c r="E116" s="117">
        <f>SUM(E111:E115)</f>
        <v>1243</v>
      </c>
      <c r="F116" s="117">
        <f>SUM(F111:F115)</f>
        <v>0</v>
      </c>
      <c r="G116" s="117"/>
      <c r="H116" s="118"/>
      <c r="I116" s="118"/>
      <c r="J116" s="333">
        <f>SUM(J111:J115)</f>
        <v>521739300.28999358</v>
      </c>
      <c r="K116" s="117">
        <f>SUM(K111:K115)</f>
        <v>1094</v>
      </c>
      <c r="L116" s="117">
        <f>SUM(L111:L115)</f>
        <v>0</v>
      </c>
      <c r="M116" s="118"/>
      <c r="N116" s="118"/>
      <c r="O116" s="118"/>
      <c r="P116" s="333">
        <f>SUM(P111:P115)</f>
        <v>532538699.56999445</v>
      </c>
      <c r="Q116" s="117">
        <f>SUM(Q111:Q115)</f>
        <v>1412</v>
      </c>
      <c r="R116" s="117">
        <f>SUM(R111:R115)</f>
        <v>1270.0000000000002</v>
      </c>
      <c r="S116" s="118">
        <f>SUM(S111:S115)</f>
        <v>142</v>
      </c>
      <c r="T116" s="118">
        <f>SUM(T111:T115)</f>
        <v>71724595</v>
      </c>
      <c r="U116" s="118"/>
      <c r="V116" s="118"/>
      <c r="W116" s="333">
        <f t="shared" ref="W116:AS116" si="32">SUM(W111:W115)</f>
        <v>1514603541.1199996</v>
      </c>
      <c r="X116" s="117">
        <f t="shared" si="32"/>
        <v>1553</v>
      </c>
      <c r="Y116" s="117">
        <f t="shared" si="32"/>
        <v>1397</v>
      </c>
      <c r="Z116" s="118">
        <f t="shared" si="32"/>
        <v>156</v>
      </c>
      <c r="AA116" s="118"/>
      <c r="AB116" s="118"/>
      <c r="AC116" s="118"/>
      <c r="AD116" s="333">
        <f t="shared" si="32"/>
        <v>3028934922.5573997</v>
      </c>
      <c r="AE116" s="117">
        <f t="shared" si="32"/>
        <v>1708</v>
      </c>
      <c r="AF116" s="117">
        <f t="shared" si="32"/>
        <v>1537</v>
      </c>
      <c r="AG116" s="118">
        <f t="shared" si="32"/>
        <v>171</v>
      </c>
      <c r="AH116" s="118"/>
      <c r="AI116" s="118"/>
      <c r="AJ116" s="118"/>
      <c r="AK116" s="333">
        <f t="shared" si="32"/>
        <v>4427794812.0116482</v>
      </c>
      <c r="AL116" s="117">
        <f t="shared" si="32"/>
        <v>1879</v>
      </c>
      <c r="AM116" s="117">
        <f t="shared" si="32"/>
        <v>1691</v>
      </c>
      <c r="AN116" s="118">
        <f t="shared" si="32"/>
        <v>188</v>
      </c>
      <c r="AO116" s="118"/>
      <c r="AP116" s="118"/>
      <c r="AQ116" s="118"/>
      <c r="AR116" s="333">
        <f t="shared" si="32"/>
        <v>6571359593.0321827</v>
      </c>
      <c r="AS116" s="117">
        <f t="shared" si="32"/>
        <v>2067</v>
      </c>
      <c r="AT116" s="117">
        <f t="shared" ref="AT116" si="33">SUM(AT111:AT115)</f>
        <v>1860</v>
      </c>
      <c r="AU116" s="117">
        <f>SUM(AU111:AU115)</f>
        <v>207</v>
      </c>
      <c r="AV116" s="118"/>
      <c r="AW116" s="118"/>
      <c r="AX116" s="118"/>
      <c r="AY116" s="352">
        <f>SUM(AY111:AY115)</f>
        <v>9514623486.9308167</v>
      </c>
    </row>
    <row r="117" spans="2:51" s="227" customFormat="1" ht="13.5" thickTop="1">
      <c r="B117" s="363"/>
      <c r="D117" s="226" t="s">
        <v>176</v>
      </c>
      <c r="E117" s="228"/>
      <c r="F117" s="228"/>
      <c r="G117" s="228"/>
      <c r="H117" s="229"/>
      <c r="I117" s="229"/>
      <c r="J117" s="229">
        <f>J116-J99</f>
        <v>0</v>
      </c>
      <c r="K117" s="229"/>
      <c r="L117" s="229"/>
      <c r="M117" s="229"/>
      <c r="N117" s="229"/>
      <c r="O117" s="229"/>
      <c r="P117" s="229">
        <f>P116-P99</f>
        <v>0</v>
      </c>
      <c r="Q117" s="229"/>
      <c r="R117" s="229"/>
      <c r="S117" s="229"/>
      <c r="T117" s="229"/>
      <c r="U117" s="229"/>
      <c r="V117" s="229"/>
      <c r="W117" s="229">
        <f>W116-W99</f>
        <v>0</v>
      </c>
      <c r="X117" s="229"/>
      <c r="Y117" s="229"/>
      <c r="Z117" s="229"/>
      <c r="AA117" s="229"/>
      <c r="AB117" s="229"/>
      <c r="AC117" s="229"/>
      <c r="AD117" s="229"/>
      <c r="AE117" s="229"/>
      <c r="AF117" s="229"/>
      <c r="AG117" s="229"/>
      <c r="AH117" s="229"/>
      <c r="AI117" s="229"/>
      <c r="AJ117" s="229"/>
      <c r="AK117" s="229"/>
      <c r="AL117" s="229"/>
      <c r="AM117" s="229"/>
      <c r="AN117" s="229"/>
      <c r="AO117" s="229"/>
      <c r="AP117" s="229"/>
      <c r="AQ117" s="229"/>
      <c r="AR117" s="229"/>
      <c r="AS117" s="229"/>
      <c r="AT117" s="229"/>
      <c r="AU117" s="229"/>
      <c r="AV117" s="229"/>
      <c r="AW117" s="229"/>
      <c r="AX117" s="229"/>
      <c r="AY117" s="881">
        <f>(AY116/W116)^(1/4)-1</f>
        <v>0.58315398993984346</v>
      </c>
    </row>
    <row r="118" spans="2:51" s="227" customFormat="1" ht="13">
      <c r="B118" s="363"/>
      <c r="D118" s="226"/>
      <c r="E118" s="228"/>
      <c r="F118" s="228"/>
      <c r="G118" s="228"/>
      <c r="H118" s="229"/>
      <c r="I118" s="229"/>
      <c r="J118" s="229"/>
      <c r="K118" s="229"/>
      <c r="L118" s="229"/>
      <c r="M118" s="229"/>
      <c r="N118" s="229"/>
      <c r="O118" s="229"/>
      <c r="P118" s="229"/>
      <c r="Q118" s="229"/>
      <c r="R118" s="229"/>
      <c r="S118" s="229"/>
      <c r="T118" s="229"/>
      <c r="U118" s="229"/>
      <c r="V118" s="229"/>
      <c r="W118" s="229"/>
      <c r="X118" s="229"/>
      <c r="Y118" s="229"/>
      <c r="Z118" s="229"/>
      <c r="AA118" s="229"/>
      <c r="AB118" s="229"/>
      <c r="AC118" s="229"/>
      <c r="AD118" s="229"/>
      <c r="AE118" s="229"/>
      <c r="AF118" s="229"/>
      <c r="AG118" s="229"/>
      <c r="AH118" s="229"/>
      <c r="AI118" s="229"/>
      <c r="AJ118" s="229"/>
      <c r="AK118" s="229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29"/>
      <c r="AX118" s="229"/>
      <c r="AY118" s="229"/>
    </row>
    <row r="119" spans="2:51" ht="13">
      <c r="D119" s="364" t="s">
        <v>325</v>
      </c>
      <c r="E119" s="307"/>
      <c r="F119" s="307"/>
      <c r="G119" s="307"/>
      <c r="H119" s="362"/>
      <c r="I119" s="362"/>
      <c r="J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  <c r="Z119" s="362"/>
      <c r="AA119" s="362"/>
      <c r="AB119" s="362"/>
      <c r="AC119" s="362"/>
      <c r="AD119" s="362"/>
      <c r="AE119" s="362"/>
      <c r="AF119" s="362"/>
      <c r="AG119" s="362"/>
      <c r="AH119" s="362"/>
      <c r="AI119" s="362"/>
      <c r="AJ119" s="362"/>
      <c r="AK119" s="362"/>
      <c r="AL119" s="362"/>
      <c r="AM119" s="362"/>
      <c r="AN119" s="362"/>
      <c r="AO119" s="362"/>
      <c r="AP119" s="362"/>
      <c r="AQ119" s="362"/>
      <c r="AR119" s="362"/>
      <c r="AS119" s="362"/>
      <c r="AT119" s="362"/>
      <c r="AU119" s="362"/>
      <c r="AV119" s="362"/>
      <c r="AW119" s="362"/>
      <c r="AX119" s="362"/>
      <c r="AY119" s="362"/>
    </row>
    <row r="120" spans="2:51">
      <c r="D120" s="218" t="s">
        <v>95</v>
      </c>
      <c r="E120" s="68">
        <f t="shared" ref="E120:N123" si="34">SUMIF($B$7:$B$54,$D120,E$7:E$54)</f>
        <v>350</v>
      </c>
      <c r="F120" s="179">
        <f t="shared" si="34"/>
        <v>0</v>
      </c>
      <c r="G120" s="181">
        <f t="shared" si="34"/>
        <v>3410755</v>
      </c>
      <c r="H120" s="181">
        <f t="shared" si="34"/>
        <v>43323</v>
      </c>
      <c r="I120" s="181">
        <f t="shared" si="34"/>
        <v>55552.217710962745</v>
      </c>
      <c r="J120" s="336">
        <f t="shared" si="34"/>
        <v>100858589.7099999</v>
      </c>
      <c r="K120" s="68">
        <f t="shared" si="34"/>
        <v>376</v>
      </c>
      <c r="L120" s="179">
        <f t="shared" si="34"/>
        <v>0</v>
      </c>
      <c r="M120" s="181">
        <f t="shared" si="34"/>
        <v>7395765</v>
      </c>
      <c r="N120" s="181">
        <f t="shared" si="34"/>
        <v>36719</v>
      </c>
      <c r="O120" s="181">
        <f t="shared" ref="O120:Z123" si="35">SUMIF($B$7:$B$54,$D120,O$7:O$54)</f>
        <v>373460.22185496218</v>
      </c>
      <c r="P120" s="336">
        <f t="shared" si="35"/>
        <v>236945260.00999996</v>
      </c>
      <c r="Q120" s="68">
        <f>SUMIF($B$7:$B$54,$D120,Q$7:Q$54)</f>
        <v>546</v>
      </c>
      <c r="R120" s="68">
        <f t="shared" si="35"/>
        <v>475</v>
      </c>
      <c r="S120" s="68">
        <f t="shared" si="35"/>
        <v>71</v>
      </c>
      <c r="T120" s="181">
        <f t="shared" si="35"/>
        <v>42182220</v>
      </c>
      <c r="U120" s="181">
        <f t="shared" si="35"/>
        <v>91311</v>
      </c>
      <c r="V120" s="181">
        <f t="shared" si="35"/>
        <v>327765.02936422802</v>
      </c>
      <c r="W120" s="336">
        <f t="shared" si="35"/>
        <v>828885226.89999998</v>
      </c>
      <c r="X120" s="714">
        <f>SUMIF($B$7:$B$54,$D120,X$7:X$54)</f>
        <v>581.25</v>
      </c>
      <c r="Y120" s="714">
        <f t="shared" si="35"/>
        <v>506.74999999999994</v>
      </c>
      <c r="Z120" s="714">
        <f t="shared" si="35"/>
        <v>74.499999999999986</v>
      </c>
      <c r="AD120" s="336">
        <f>SUMIF($B$7:$B$54,$D120,AD$7:AD$54)</f>
        <v>1442490590.9834001</v>
      </c>
      <c r="AE120" s="714">
        <f>SUMIF($B$7:$B$54,$D120,AE$7:AE$54)</f>
        <v>620</v>
      </c>
      <c r="AF120" s="714">
        <f t="shared" ref="AE120:AG123" si="36">SUMIF($B$7:$B$54,$D120,AF$7:AF$54)</f>
        <v>541.75</v>
      </c>
      <c r="AG120" s="714">
        <f t="shared" si="36"/>
        <v>78.249999999999986</v>
      </c>
      <c r="AK120" s="336">
        <f>SUMIF($B$7:$B$54,$D120,AK$7:AK$54)</f>
        <v>2158612913.8098502</v>
      </c>
      <c r="AL120" s="714">
        <f>SUMIF($B$7:$B$54,$D120,AL$7:AL$54)</f>
        <v>662.74999999999989</v>
      </c>
      <c r="AM120" s="714">
        <f t="shared" ref="AL120:AN123" si="37">SUMIF($B$7:$B$54,$D120,AM$7:AM$54)</f>
        <v>580.24999999999989</v>
      </c>
      <c r="AN120" s="714">
        <f t="shared" si="37"/>
        <v>82.5</v>
      </c>
      <c r="AR120" s="336">
        <f>SUMIF($B$7:$B$54,$D120,AR$7:AR$54)</f>
        <v>3230747208.9834261</v>
      </c>
      <c r="AS120" s="714">
        <f>SUMIF($B$7:$B$54,$D120,AS$7:AS$54)</f>
        <v>709.74999999999989</v>
      </c>
      <c r="AT120" s="714">
        <f t="shared" ref="AS120:AU123" si="38">SUMIF($B$7:$B$54,$D120,AT$7:AT$54)</f>
        <v>622.49999999999989</v>
      </c>
      <c r="AU120" s="714">
        <f t="shared" si="38"/>
        <v>87.249999999999986</v>
      </c>
      <c r="AY120" s="355">
        <f>SUMIF($B$7:$B$54,$D120,AY$7:AY$54)</f>
        <v>4679562939.8140211</v>
      </c>
    </row>
    <row r="121" spans="2:51">
      <c r="D121" s="218" t="s">
        <v>301</v>
      </c>
      <c r="E121" s="68">
        <f t="shared" si="34"/>
        <v>332</v>
      </c>
      <c r="F121" s="179">
        <f t="shared" si="34"/>
        <v>0</v>
      </c>
      <c r="G121" s="181">
        <f t="shared" si="34"/>
        <v>2415815</v>
      </c>
      <c r="H121" s="181">
        <f t="shared" si="34"/>
        <v>29184</v>
      </c>
      <c r="I121" s="181">
        <f t="shared" si="34"/>
        <v>63079.999402846413</v>
      </c>
      <c r="J121" s="336">
        <f t="shared" si="34"/>
        <v>75953360.889999971</v>
      </c>
      <c r="K121" s="68">
        <f t="shared" si="34"/>
        <v>230</v>
      </c>
      <c r="L121" s="179">
        <f t="shared" si="34"/>
        <v>0</v>
      </c>
      <c r="M121" s="181">
        <f t="shared" si="34"/>
        <v>1476640</v>
      </c>
      <c r="N121" s="181">
        <f t="shared" si="34"/>
        <v>8168</v>
      </c>
      <c r="O121" s="181">
        <f t="shared" si="35"/>
        <v>167361.9701330039</v>
      </c>
      <c r="P121" s="336">
        <f t="shared" si="35"/>
        <v>50143776.979999997</v>
      </c>
      <c r="Q121" s="68">
        <f t="shared" si="35"/>
        <v>244</v>
      </c>
      <c r="R121" s="68">
        <f t="shared" si="35"/>
        <v>215.6</v>
      </c>
      <c r="S121" s="68">
        <f t="shared" si="35"/>
        <v>28.4</v>
      </c>
      <c r="T121" s="181">
        <f t="shared" si="35"/>
        <v>8269860</v>
      </c>
      <c r="U121" s="181">
        <f t="shared" si="35"/>
        <v>19306</v>
      </c>
      <c r="V121" s="181">
        <f t="shared" si="35"/>
        <v>338723.90192399675</v>
      </c>
      <c r="W121" s="336">
        <f t="shared" si="35"/>
        <v>173012800.54000002</v>
      </c>
      <c r="X121" s="714">
        <f t="shared" si="35"/>
        <v>279.24999999999994</v>
      </c>
      <c r="Y121" s="714">
        <f t="shared" si="35"/>
        <v>247.34999999999997</v>
      </c>
      <c r="Z121" s="714">
        <f t="shared" si="35"/>
        <v>31.900000000000006</v>
      </c>
      <c r="AD121" s="336">
        <f>SUMIF($B$7:$B$54,$D121,AD$7:AD$54)</f>
        <v>526558273.96299994</v>
      </c>
      <c r="AE121" s="714">
        <f t="shared" si="36"/>
        <v>317.99999999999994</v>
      </c>
      <c r="AF121" s="714">
        <f t="shared" si="36"/>
        <v>282.34999999999997</v>
      </c>
      <c r="AG121" s="714">
        <f t="shared" si="36"/>
        <v>35.650000000000006</v>
      </c>
      <c r="AK121" s="336">
        <f>SUMIF($B$7:$B$54,$D121,AK$7:AK$54)</f>
        <v>744272422.2665503</v>
      </c>
      <c r="AL121" s="714">
        <f t="shared" si="37"/>
        <v>360.74999999999994</v>
      </c>
      <c r="AM121" s="714">
        <f t="shared" si="37"/>
        <v>320.84999999999991</v>
      </c>
      <c r="AN121" s="714">
        <f t="shared" si="37"/>
        <v>39.900000000000006</v>
      </c>
      <c r="AR121" s="336">
        <f>SUMIF($B$7:$B$54,$D121,AR$7:AR$54)</f>
        <v>1052617649.2506951</v>
      </c>
      <c r="AS121" s="714">
        <f t="shared" si="38"/>
        <v>407.74999999999994</v>
      </c>
      <c r="AT121" s="714">
        <f t="shared" si="38"/>
        <v>363.09999999999991</v>
      </c>
      <c r="AU121" s="714">
        <f t="shared" si="38"/>
        <v>44.650000000000006</v>
      </c>
      <c r="AY121" s="356">
        <f>SUMIF($B$7:$B$54,$D121,AY$7:AY$54)</f>
        <v>1444965407.1628697</v>
      </c>
    </row>
    <row r="122" spans="2:51">
      <c r="D122" s="218" t="s">
        <v>102</v>
      </c>
      <c r="E122" s="68">
        <f t="shared" si="34"/>
        <v>307</v>
      </c>
      <c r="F122" s="179">
        <f t="shared" si="34"/>
        <v>0</v>
      </c>
      <c r="G122" s="181">
        <f t="shared" si="34"/>
        <v>2674910</v>
      </c>
      <c r="H122" s="181">
        <f t="shared" si="34"/>
        <v>39146</v>
      </c>
      <c r="I122" s="181">
        <f t="shared" si="34"/>
        <v>73411.754695770549</v>
      </c>
      <c r="J122" s="336">
        <f t="shared" si="34"/>
        <v>83721294.679999977</v>
      </c>
      <c r="K122" s="68">
        <f t="shared" si="34"/>
        <v>215</v>
      </c>
      <c r="L122" s="179">
        <f t="shared" si="34"/>
        <v>0</v>
      </c>
      <c r="M122" s="181">
        <f t="shared" si="34"/>
        <v>982265</v>
      </c>
      <c r="N122" s="181">
        <f t="shared" si="34"/>
        <v>13021</v>
      </c>
      <c r="O122" s="181">
        <f t="shared" si="35"/>
        <v>174792.13362195238</v>
      </c>
      <c r="P122" s="336">
        <f t="shared" si="35"/>
        <v>39830453.960000008</v>
      </c>
      <c r="Q122" s="68">
        <f t="shared" si="35"/>
        <v>317</v>
      </c>
      <c r="R122" s="68">
        <f t="shared" si="35"/>
        <v>288.60000000000002</v>
      </c>
      <c r="S122" s="68">
        <f t="shared" si="35"/>
        <v>28.4</v>
      </c>
      <c r="T122" s="181">
        <f t="shared" si="35"/>
        <v>9865040</v>
      </c>
      <c r="U122" s="181">
        <f t="shared" si="35"/>
        <v>24107</v>
      </c>
      <c r="V122" s="181">
        <f t="shared" si="35"/>
        <v>301441.37818437762</v>
      </c>
      <c r="W122" s="336">
        <f t="shared" si="35"/>
        <v>201831532.32000002</v>
      </c>
      <c r="X122" s="714">
        <f t="shared" si="35"/>
        <v>352.25</v>
      </c>
      <c r="Y122" s="714">
        <f t="shared" si="35"/>
        <v>320.34999999999997</v>
      </c>
      <c r="Z122" s="714">
        <f t="shared" si="35"/>
        <v>31.900000000000006</v>
      </c>
      <c r="AD122" s="336">
        <f>SUMIF($B$7:$B$54,$D122,AD$7:AD$54)</f>
        <v>531589619.03649986</v>
      </c>
      <c r="AE122" s="714">
        <f t="shared" si="36"/>
        <v>391</v>
      </c>
      <c r="AF122" s="714">
        <f t="shared" si="36"/>
        <v>355.34999999999997</v>
      </c>
      <c r="AG122" s="714">
        <f t="shared" si="36"/>
        <v>35.650000000000006</v>
      </c>
      <c r="AK122" s="336">
        <f>SUMIF($B$7:$B$54,$D122,AK$7:AK$54)</f>
        <v>755047161.90114987</v>
      </c>
      <c r="AL122" s="714">
        <f t="shared" si="37"/>
        <v>433.74999999999994</v>
      </c>
      <c r="AM122" s="714">
        <f t="shared" si="37"/>
        <v>393.84999999999991</v>
      </c>
      <c r="AN122" s="714">
        <f t="shared" si="37"/>
        <v>39.900000000000006</v>
      </c>
      <c r="AR122" s="336">
        <f>SUMIF($B$7:$B$54,$D122,AR$7:AR$54)</f>
        <v>1073298569.5366848</v>
      </c>
      <c r="AS122" s="714">
        <f t="shared" si="38"/>
        <v>480.74999999999994</v>
      </c>
      <c r="AT122" s="714">
        <f t="shared" si="38"/>
        <v>436.09999999999991</v>
      </c>
      <c r="AU122" s="714">
        <f t="shared" si="38"/>
        <v>44.650000000000006</v>
      </c>
      <c r="AY122" s="356">
        <f>SUMIF($B$7:$B$54,$D122,AY$7:AY$54)</f>
        <v>1485476290.3434434</v>
      </c>
    </row>
    <row r="123" spans="2:51">
      <c r="D123" s="218" t="s">
        <v>107</v>
      </c>
      <c r="E123" s="68">
        <f t="shared" si="34"/>
        <v>254</v>
      </c>
      <c r="F123" s="179">
        <f t="shared" si="34"/>
        <v>0</v>
      </c>
      <c r="G123" s="181">
        <f t="shared" si="34"/>
        <v>3175750</v>
      </c>
      <c r="H123" s="181">
        <f t="shared" si="34"/>
        <v>68632</v>
      </c>
      <c r="I123" s="181">
        <f t="shared" si="34"/>
        <v>69598.033180833241</v>
      </c>
      <c r="J123" s="336">
        <f t="shared" si="34"/>
        <v>104278118.49999997</v>
      </c>
      <c r="K123" s="68">
        <f t="shared" si="34"/>
        <v>273</v>
      </c>
      <c r="L123" s="179">
        <f t="shared" si="34"/>
        <v>0</v>
      </c>
      <c r="M123" s="181">
        <f t="shared" si="34"/>
        <v>1162515</v>
      </c>
      <c r="N123" s="181">
        <f t="shared" si="34"/>
        <v>31947</v>
      </c>
      <c r="O123" s="181">
        <f t="shared" si="35"/>
        <v>253884.69623714959</v>
      </c>
      <c r="P123" s="336">
        <f t="shared" si="35"/>
        <v>49471339.380000018</v>
      </c>
      <c r="Q123" s="68">
        <f t="shared" si="35"/>
        <v>305</v>
      </c>
      <c r="R123" s="68">
        <f t="shared" si="35"/>
        <v>290.79999999999995</v>
      </c>
      <c r="S123" s="68">
        <f t="shared" si="35"/>
        <v>14.200000000000003</v>
      </c>
      <c r="T123" s="181">
        <f t="shared" si="35"/>
        <v>6453580</v>
      </c>
      <c r="U123" s="181">
        <f t="shared" si="35"/>
        <v>23270</v>
      </c>
      <c r="V123" s="181">
        <f t="shared" si="35"/>
        <v>380163.10003484687</v>
      </c>
      <c r="W123" s="336">
        <f t="shared" si="35"/>
        <v>140081077.52999997</v>
      </c>
      <c r="X123" s="714">
        <f t="shared" si="35"/>
        <v>340.24999999999994</v>
      </c>
      <c r="Y123" s="714">
        <f t="shared" si="35"/>
        <v>322.54999999999995</v>
      </c>
      <c r="Z123" s="714">
        <f t="shared" si="35"/>
        <v>17.700000000000003</v>
      </c>
      <c r="AD123" s="336">
        <f>SUMIF($B$7:$B$54,$D123,AD$7:AD$54)</f>
        <v>264401438.57449996</v>
      </c>
      <c r="AE123" s="714">
        <f t="shared" si="36"/>
        <v>378.99999999999994</v>
      </c>
      <c r="AF123" s="714">
        <f t="shared" si="36"/>
        <v>357.54999999999995</v>
      </c>
      <c r="AG123" s="714">
        <f t="shared" si="36"/>
        <v>21.450000000000003</v>
      </c>
      <c r="AK123" s="336">
        <f>SUMIF($B$7:$B$54,$D123,AK$7:AK$54)</f>
        <v>418892314.03410006</v>
      </c>
      <c r="AL123" s="714">
        <f t="shared" si="37"/>
        <v>421.74999999999994</v>
      </c>
      <c r="AM123" s="714">
        <f t="shared" si="37"/>
        <v>396.04999999999995</v>
      </c>
      <c r="AN123" s="714">
        <f t="shared" si="37"/>
        <v>25.700000000000003</v>
      </c>
      <c r="AR123" s="336">
        <f>SUMIF($B$7:$B$54,$D123,AR$7:AR$54)</f>
        <v>754006165.26137984</v>
      </c>
      <c r="AS123" s="714">
        <f t="shared" si="38"/>
        <v>468.74999999999994</v>
      </c>
      <c r="AT123" s="714">
        <f t="shared" si="38"/>
        <v>438.29999999999995</v>
      </c>
      <c r="AU123" s="714">
        <f t="shared" si="38"/>
        <v>30.450000000000003</v>
      </c>
      <c r="AY123" s="356">
        <f>SUMIF($B$7:$B$54,$D123,AY$7:AY$54)</f>
        <v>1305883849.6104839</v>
      </c>
    </row>
    <row r="124" spans="2:51" ht="13.5" thickBot="1">
      <c r="D124" s="116" t="s">
        <v>323</v>
      </c>
      <c r="E124" s="117">
        <f>SUM(E120:E123)</f>
        <v>1243</v>
      </c>
      <c r="F124" s="117">
        <f>SUM(F120:F123)</f>
        <v>0</v>
      </c>
      <c r="G124" s="117"/>
      <c r="H124" s="118"/>
      <c r="I124" s="118"/>
      <c r="J124" s="333">
        <f>SUM(J120:J123)</f>
        <v>364811363.77999985</v>
      </c>
      <c r="K124" s="118">
        <f>SUM(K120:K123)</f>
        <v>1094</v>
      </c>
      <c r="L124" s="117">
        <f>SUM(L120:L123)</f>
        <v>0</v>
      </c>
      <c r="M124" s="118"/>
      <c r="N124" s="118"/>
      <c r="O124" s="118"/>
      <c r="P124" s="333">
        <f>SUM(P120:P123)</f>
        <v>376390830.32999992</v>
      </c>
      <c r="Q124" s="118">
        <f>SUM(Q120:Q123)</f>
        <v>1412</v>
      </c>
      <c r="R124" s="118">
        <f>SUM(R120:R123)</f>
        <v>1270</v>
      </c>
      <c r="S124" s="118">
        <f>SUM(S120:S123)</f>
        <v>142</v>
      </c>
      <c r="T124" s="118">
        <f>SUM(T120:T123)</f>
        <v>66770700</v>
      </c>
      <c r="U124" s="118"/>
      <c r="V124" s="118"/>
      <c r="W124" s="333">
        <f>SUM(W120:W123)</f>
        <v>1343810637.29</v>
      </c>
      <c r="X124" s="118">
        <f>SUM(X120:X123)</f>
        <v>1553</v>
      </c>
      <c r="Y124" s="118">
        <f>SUM(Y120:Y123)</f>
        <v>1396.9999999999998</v>
      </c>
      <c r="Z124" s="118">
        <f>SUM(Z120:Z123)</f>
        <v>156</v>
      </c>
      <c r="AA124" s="118"/>
      <c r="AB124" s="118"/>
      <c r="AC124" s="118"/>
      <c r="AD124" s="333">
        <f>SUM(AD120:AD123)</f>
        <v>2765039922.5574002</v>
      </c>
      <c r="AE124" s="118">
        <f>SUM(AE120:AE123)</f>
        <v>1708</v>
      </c>
      <c r="AF124" s="118">
        <f>SUM(AF120:AF123)</f>
        <v>1536.9999999999998</v>
      </c>
      <c r="AG124" s="118">
        <f>SUM(AG120:AG123)</f>
        <v>171</v>
      </c>
      <c r="AH124" s="118"/>
      <c r="AI124" s="118"/>
      <c r="AJ124" s="118"/>
      <c r="AK124" s="333">
        <f>SUM(AK120:AK123)</f>
        <v>4076824812.0116506</v>
      </c>
      <c r="AL124" s="118">
        <f>SUM(AL120:AL123)</f>
        <v>1878.9999999999998</v>
      </c>
      <c r="AM124" s="118">
        <f>SUM(AM120:AM123)</f>
        <v>1690.9999999999998</v>
      </c>
      <c r="AN124" s="118">
        <f>SUM(AN120:AN123)</f>
        <v>188</v>
      </c>
      <c r="AO124" s="118"/>
      <c r="AP124" s="118"/>
      <c r="AQ124" s="118"/>
      <c r="AR124" s="333">
        <f>SUM(AR120:AR123)</f>
        <v>6110669593.0321865</v>
      </c>
      <c r="AS124" s="118">
        <f>SUM(AS120:AS123)</f>
        <v>2066.9999999999995</v>
      </c>
      <c r="AT124" s="118">
        <f>SUM(AT120:AT123)</f>
        <v>1859.9999999999998</v>
      </c>
      <c r="AU124" s="118">
        <f>SUM(AU120:AU123)</f>
        <v>207</v>
      </c>
      <c r="AV124" s="118"/>
      <c r="AW124" s="118"/>
      <c r="AX124" s="118"/>
      <c r="AY124" s="352">
        <f>SUM(AY120:AY123)</f>
        <v>8915888486.9308167</v>
      </c>
    </row>
    <row r="125" spans="2:51" s="227" customFormat="1" ht="13" thickTop="1">
      <c r="B125" s="363"/>
      <c r="D125" s="226" t="s">
        <v>176</v>
      </c>
      <c r="E125" s="363"/>
      <c r="F125" s="363"/>
      <c r="G125" s="363"/>
      <c r="J125" s="365">
        <f>J124-J55</f>
        <v>0</v>
      </c>
      <c r="P125" s="365">
        <f>P124-P55</f>
        <v>0</v>
      </c>
      <c r="W125" s="365">
        <f>W124-W55</f>
        <v>0</v>
      </c>
    </row>
    <row r="127" spans="2:51" ht="13">
      <c r="D127" s="361" t="s">
        <v>326</v>
      </c>
      <c r="E127" s="307"/>
      <c r="F127" s="307"/>
      <c r="G127" s="307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  <c r="Z127" s="362"/>
      <c r="AA127" s="362"/>
      <c r="AB127" s="362"/>
      <c r="AC127" s="362"/>
      <c r="AD127" s="362"/>
      <c r="AE127" s="362"/>
      <c r="AF127" s="362"/>
      <c r="AG127" s="362"/>
      <c r="AH127" s="362"/>
      <c r="AI127" s="362"/>
      <c r="AJ127" s="362"/>
      <c r="AK127" s="362"/>
      <c r="AL127" s="362"/>
      <c r="AM127" s="362"/>
      <c r="AN127" s="362"/>
      <c r="AO127" s="362"/>
      <c r="AP127" s="362"/>
      <c r="AQ127" s="362"/>
      <c r="AR127" s="362"/>
      <c r="AS127" s="362"/>
      <c r="AT127" s="362"/>
      <c r="AU127" s="362"/>
      <c r="AV127" s="362"/>
      <c r="AW127" s="362"/>
      <c r="AX127" s="362"/>
      <c r="AY127" s="362"/>
    </row>
    <row r="128" spans="2:51">
      <c r="D128" s="220" t="s">
        <v>294</v>
      </c>
      <c r="E128" s="223">
        <f t="shared" ref="E128:F131" si="39">IFERROR(E103/E$107,0)</f>
        <v>0.34674175382139982</v>
      </c>
      <c r="F128" s="223">
        <f t="shared" si="39"/>
        <v>0</v>
      </c>
      <c r="J128" s="337">
        <f>J103/$J$107</f>
        <v>0.82304930332316106</v>
      </c>
      <c r="K128" s="223">
        <f t="shared" ref="K128:L131" si="40">IFERROR(K103/K$107,0)</f>
        <v>0.35191956124314444</v>
      </c>
      <c r="L128" s="223">
        <f t="shared" si="40"/>
        <v>0</v>
      </c>
      <c r="P128" s="337">
        <f>P103/$P$107</f>
        <v>0.81330981126765456</v>
      </c>
      <c r="Q128" s="223">
        <f t="shared" ref="Q128:S131" si="41">IFERROR(Q103/Q$107,0)</f>
        <v>0.47379603399433429</v>
      </c>
      <c r="R128" s="223">
        <f t="shared" si="41"/>
        <v>0.41496062992125982</v>
      </c>
      <c r="S128" s="223">
        <f t="shared" si="41"/>
        <v>1</v>
      </c>
      <c r="W128" s="337">
        <f>W103/$W$107</f>
        <v>0.95180373364503013</v>
      </c>
      <c r="X128" s="223"/>
      <c r="Y128" s="223"/>
      <c r="Z128" s="223"/>
      <c r="AD128" s="337">
        <f>AD103/$AD$107</f>
        <v>0.80657293752062198</v>
      </c>
      <c r="AE128" s="223"/>
      <c r="AF128" s="223"/>
      <c r="AG128" s="223"/>
      <c r="AK128" s="337">
        <f>AK103/$AK$107</f>
        <v>0.7127198757826837</v>
      </c>
      <c r="AL128" s="223"/>
      <c r="AM128" s="223"/>
      <c r="AN128" s="223"/>
      <c r="AR128" s="337">
        <f>AR103/$AR$107</f>
        <v>0.61875350119793648</v>
      </c>
      <c r="AS128" s="223"/>
      <c r="AT128" s="223"/>
      <c r="AU128" s="223"/>
      <c r="AV128" s="223"/>
      <c r="AY128" s="879">
        <f>AY103/$AY$107</f>
        <v>0.52311258036663899</v>
      </c>
    </row>
    <row r="129" spans="3:51">
      <c r="D129" s="221" t="s">
        <v>295</v>
      </c>
      <c r="E129" s="223">
        <f t="shared" si="39"/>
        <v>7.4818986323411107E-2</v>
      </c>
      <c r="F129" s="223">
        <f t="shared" si="39"/>
        <v>0</v>
      </c>
      <c r="J129" s="337">
        <f>J104/$J$107</f>
        <v>1.33826385823708E-2</v>
      </c>
      <c r="K129" s="223">
        <f t="shared" si="40"/>
        <v>5.9414990859232172E-2</v>
      </c>
      <c r="L129" s="223">
        <f t="shared" si="40"/>
        <v>0</v>
      </c>
      <c r="P129" s="337">
        <f>P104/$P$107</f>
        <v>1.7328187336340454E-2</v>
      </c>
      <c r="Q129" s="223">
        <f t="shared" si="41"/>
        <v>3.8951841359773372E-2</v>
      </c>
      <c r="R129" s="223">
        <f t="shared" si="41"/>
        <v>4.3307086614173228E-2</v>
      </c>
      <c r="S129" s="223">
        <f t="shared" si="41"/>
        <v>0</v>
      </c>
      <c r="W129" s="337">
        <f>W104/$W$107</f>
        <v>8.2189050283051832E-3</v>
      </c>
      <c r="X129" s="223"/>
      <c r="Y129" s="223"/>
      <c r="Z129" s="223"/>
      <c r="AD129" s="337">
        <f>AD104/$AD$107</f>
        <v>6.4262191104725308E-2</v>
      </c>
      <c r="AE129" s="223"/>
      <c r="AF129" s="223"/>
      <c r="AG129" s="223"/>
      <c r="AK129" s="337">
        <f>AK104/$AK$107</f>
        <v>9.5102076559381743E-2</v>
      </c>
      <c r="AL129" s="223"/>
      <c r="AM129" s="223"/>
      <c r="AN129" s="223"/>
      <c r="AR129" s="337">
        <f>AR104/$AR$107</f>
        <v>0.12664592980424783</v>
      </c>
      <c r="AS129" s="223"/>
      <c r="AT129" s="223"/>
      <c r="AU129" s="223"/>
      <c r="AV129" s="223"/>
      <c r="AY129" s="879">
        <f>AY104/$AY$107</f>
        <v>0.15861388698790063</v>
      </c>
    </row>
    <row r="130" spans="3:51">
      <c r="C130" s="148"/>
      <c r="D130" s="111" t="s">
        <v>296</v>
      </c>
      <c r="E130" s="223">
        <f t="shared" si="39"/>
        <v>8.286403861625101E-2</v>
      </c>
      <c r="F130" s="223">
        <f t="shared" si="39"/>
        <v>0</v>
      </c>
      <c r="J130" s="337">
        <f>J105/$J$107</f>
        <v>3.4961958606264214E-2</v>
      </c>
      <c r="K130" s="223">
        <f t="shared" si="40"/>
        <v>0.10329067641681901</v>
      </c>
      <c r="L130" s="223">
        <f t="shared" si="40"/>
        <v>0</v>
      </c>
      <c r="P130" s="337">
        <f>P105/$P$107</f>
        <v>4.2784564198616176E-2</v>
      </c>
      <c r="Q130" s="223">
        <f t="shared" si="41"/>
        <v>0.1281869688385269</v>
      </c>
      <c r="R130" s="223">
        <f t="shared" si="41"/>
        <v>0.14251968503937007</v>
      </c>
      <c r="S130" s="223">
        <f t="shared" si="41"/>
        <v>0</v>
      </c>
      <c r="W130" s="337">
        <f>W105/$W$107</f>
        <v>2.3951530704315063E-2</v>
      </c>
      <c r="X130" s="223"/>
      <c r="Y130" s="223"/>
      <c r="Z130" s="223"/>
      <c r="AD130" s="337">
        <f>AD105/$AD$107</f>
        <v>6.4886172817215926E-2</v>
      </c>
      <c r="AE130" s="223"/>
      <c r="AF130" s="223"/>
      <c r="AG130" s="223"/>
      <c r="AK130" s="337">
        <f>AK105/$AK$107</f>
        <v>9.7062420335126048E-2</v>
      </c>
      <c r="AL130" s="223"/>
      <c r="AM130" s="223"/>
      <c r="AN130" s="223"/>
      <c r="AR130" s="337">
        <f>AR105/$AR$107</f>
        <v>0.12794855217315251</v>
      </c>
      <c r="AS130" s="223"/>
      <c r="AT130" s="223"/>
      <c r="AU130" s="223"/>
      <c r="AV130" s="223"/>
      <c r="AY130" s="879">
        <f>AY105/$AY$107</f>
        <v>0.15970063519335542</v>
      </c>
    </row>
    <row r="131" spans="3:51">
      <c r="D131" s="219" t="s">
        <v>297</v>
      </c>
      <c r="E131" s="223">
        <f t="shared" si="39"/>
        <v>0.49557522123893805</v>
      </c>
      <c r="F131" s="223">
        <f t="shared" si="39"/>
        <v>0</v>
      </c>
      <c r="J131" s="337">
        <f>J106/$J$107</f>
        <v>0.1286060994882039</v>
      </c>
      <c r="K131" s="223">
        <f t="shared" si="40"/>
        <v>0.48537477148080438</v>
      </c>
      <c r="L131" s="223">
        <f t="shared" si="40"/>
        <v>0</v>
      </c>
      <c r="P131" s="337">
        <f>P106/$P$107</f>
        <v>0.12657743719738876</v>
      </c>
      <c r="Q131" s="223">
        <f t="shared" si="41"/>
        <v>0.35906515580736542</v>
      </c>
      <c r="R131" s="223">
        <f t="shared" si="41"/>
        <v>0.39921259842519685</v>
      </c>
      <c r="S131" s="223">
        <f t="shared" si="41"/>
        <v>0</v>
      </c>
      <c r="W131" s="337">
        <f>W106/$W$107</f>
        <v>1.6025830622349573E-2</v>
      </c>
      <c r="X131" s="223"/>
      <c r="Y131" s="223"/>
      <c r="Z131" s="223"/>
      <c r="AD131" s="337">
        <f>AD106/$AD$107</f>
        <v>6.4278698557436689E-2</v>
      </c>
      <c r="AE131" s="223"/>
      <c r="AF131" s="223"/>
      <c r="AG131" s="223"/>
      <c r="AK131" s="337">
        <f>AK106/$AK$107</f>
        <v>9.5115627322808552E-2</v>
      </c>
      <c r="AL131" s="223"/>
      <c r="AM131" s="223"/>
      <c r="AN131" s="223"/>
      <c r="AR131" s="337">
        <f>AR106/$AR$107</f>
        <v>0.12665201682466326</v>
      </c>
      <c r="AS131" s="223"/>
      <c r="AT131" s="223"/>
      <c r="AU131" s="223"/>
      <c r="AV131" s="223"/>
      <c r="AY131" s="880">
        <f>AY106/$AY$107</f>
        <v>0.15857289745210496</v>
      </c>
    </row>
    <row r="132" spans="3:51" ht="13.5" thickBot="1">
      <c r="D132" s="116" t="s">
        <v>323</v>
      </c>
      <c r="E132" s="225">
        <f>SUM(E128:E131)</f>
        <v>1</v>
      </c>
      <c r="F132" s="225">
        <f>SUM(F128:F131)</f>
        <v>0</v>
      </c>
      <c r="G132" s="91"/>
      <c r="H132" s="106"/>
      <c r="I132" s="106"/>
      <c r="J132" s="338">
        <f>SUM(J128:J131)</f>
        <v>0.99999999999999989</v>
      </c>
      <c r="K132" s="225">
        <f>SUM(K128:K131)</f>
        <v>1</v>
      </c>
      <c r="L132" s="225">
        <f>SUM(L128:L131)</f>
        <v>0</v>
      </c>
      <c r="M132" s="106"/>
      <c r="N132" s="106"/>
      <c r="O132" s="106"/>
      <c r="P132" s="338">
        <f>SUM(P128:P131)</f>
        <v>1</v>
      </c>
      <c r="Q132" s="225">
        <f>SUM(Q128:Q131)</f>
        <v>1</v>
      </c>
      <c r="R132" s="225">
        <f>SUM(R128:R131)</f>
        <v>1</v>
      </c>
      <c r="S132" s="225">
        <f>SUM(S128:S131)</f>
        <v>1</v>
      </c>
      <c r="T132" s="106"/>
      <c r="U132" s="106"/>
      <c r="V132" s="106"/>
      <c r="W132" s="338">
        <f>SUM(W128:W131)</f>
        <v>0.99999999999999989</v>
      </c>
      <c r="X132" s="225"/>
      <c r="Y132" s="225"/>
      <c r="Z132" s="225"/>
      <c r="AA132" s="106"/>
      <c r="AB132" s="106"/>
      <c r="AC132" s="106"/>
      <c r="AD132" s="338">
        <f>SUM(AD128:AD131)</f>
        <v>0.99999999999999989</v>
      </c>
      <c r="AE132" s="225"/>
      <c r="AF132" s="225"/>
      <c r="AG132" s="225"/>
      <c r="AH132" s="106"/>
      <c r="AI132" s="106"/>
      <c r="AJ132" s="106"/>
      <c r="AK132" s="338">
        <f>SUM(AK128:AK131)</f>
        <v>1</v>
      </c>
      <c r="AL132" s="225"/>
      <c r="AM132" s="225"/>
      <c r="AN132" s="225"/>
      <c r="AO132" s="106"/>
      <c r="AP132" s="106"/>
      <c r="AQ132" s="106"/>
      <c r="AR132" s="338">
        <f>SUM(AR128:AR131)</f>
        <v>1</v>
      </c>
      <c r="AS132" s="225"/>
      <c r="AT132" s="225"/>
      <c r="AU132" s="225"/>
      <c r="AV132" s="225"/>
      <c r="AW132" s="106"/>
      <c r="AX132" s="106"/>
      <c r="AY132" s="359">
        <f>SUM(AY128:AY131)</f>
        <v>1</v>
      </c>
    </row>
    <row r="133" spans="3:51" ht="13.5" thickTop="1">
      <c r="D133" s="361"/>
    </row>
    <row r="134" spans="3:51" ht="13">
      <c r="D134" s="361" t="s">
        <v>327</v>
      </c>
    </row>
    <row r="135" spans="3:51" ht="13">
      <c r="D135" s="364"/>
      <c r="E135" s="307"/>
      <c r="F135" s="307"/>
      <c r="G135" s="307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  <c r="Z135" s="362"/>
      <c r="AA135" s="362"/>
      <c r="AB135" s="362"/>
      <c r="AC135" s="362"/>
      <c r="AD135" s="362"/>
      <c r="AE135" s="362"/>
      <c r="AF135" s="362"/>
      <c r="AG135" s="362"/>
      <c r="AH135" s="362"/>
      <c r="AI135" s="362"/>
      <c r="AJ135" s="362"/>
      <c r="AK135" s="362"/>
      <c r="AL135" s="362"/>
      <c r="AM135" s="362"/>
      <c r="AN135" s="362"/>
      <c r="AO135" s="362"/>
      <c r="AP135" s="362"/>
      <c r="AQ135" s="362"/>
      <c r="AR135" s="362"/>
      <c r="AS135" s="362"/>
      <c r="AT135" s="362"/>
      <c r="AU135" s="362"/>
      <c r="AV135" s="362"/>
      <c r="AW135" s="362"/>
      <c r="AX135" s="362"/>
      <c r="AY135" s="362"/>
    </row>
    <row r="136" spans="3:51">
      <c r="D136" s="177" t="s">
        <v>292</v>
      </c>
      <c r="E136" s="223">
        <f t="shared" ref="E136:F140" si="42">IFERROR(E111/E$116,0)</f>
        <v>1</v>
      </c>
      <c r="F136" s="223">
        <f t="shared" si="42"/>
        <v>0</v>
      </c>
      <c r="J136" s="337">
        <f t="shared" ref="J136:L140" si="43">IFERROR(J111/J$116,0)</f>
        <v>0.69922155294268629</v>
      </c>
      <c r="K136" s="223">
        <f t="shared" si="43"/>
        <v>1</v>
      </c>
      <c r="L136" s="223">
        <f t="shared" si="43"/>
        <v>0</v>
      </c>
      <c r="P136" s="337">
        <f t="shared" ref="P136:S140" si="44">IFERROR(P111/P$116,0)</f>
        <v>0.70678587421706973</v>
      </c>
      <c r="Q136" s="223">
        <f t="shared" si="44"/>
        <v>1</v>
      </c>
      <c r="R136" s="223">
        <f t="shared" si="44"/>
        <v>1</v>
      </c>
      <c r="S136" s="223">
        <f t="shared" si="44"/>
        <v>1</v>
      </c>
      <c r="W136" s="337">
        <f t="shared" ref="W136:Z140" si="45">IFERROR(W111/W$116,0)</f>
        <v>0.88723590088551874</v>
      </c>
      <c r="X136" s="223">
        <f t="shared" si="45"/>
        <v>1</v>
      </c>
      <c r="Y136" s="223">
        <f t="shared" si="45"/>
        <v>1</v>
      </c>
      <c r="Z136" s="223">
        <f t="shared" si="45"/>
        <v>1</v>
      </c>
      <c r="AD136" s="337">
        <f t="shared" ref="AD136:AG140" si="46">IFERROR(AD111/AD$116,0)</f>
        <v>0.91287531533454425</v>
      </c>
      <c r="AE136" s="223">
        <f t="shared" si="46"/>
        <v>1</v>
      </c>
      <c r="AF136" s="223">
        <f t="shared" si="46"/>
        <v>1</v>
      </c>
      <c r="AG136" s="223">
        <f t="shared" si="46"/>
        <v>1</v>
      </c>
      <c r="AK136" s="337">
        <f t="shared" ref="AK136:AN140" si="47">IFERROR(AK111/AK$116,0)</f>
        <v>0.92073480933490992</v>
      </c>
      <c r="AL136" s="223">
        <f t="shared" si="47"/>
        <v>1</v>
      </c>
      <c r="AM136" s="223">
        <f t="shared" si="47"/>
        <v>1</v>
      </c>
      <c r="AN136" s="223">
        <f t="shared" si="47"/>
        <v>1</v>
      </c>
      <c r="AR136" s="337">
        <f t="shared" ref="AR136:AS140" si="48">IFERROR(AR111/AR$116,0)</f>
        <v>0.92989426412024634</v>
      </c>
      <c r="AS136" s="223">
        <f t="shared" si="48"/>
        <v>1</v>
      </c>
      <c r="AT136" s="223"/>
      <c r="AU136" s="223">
        <f t="shared" ref="AU136:AU140" si="49">IFERROR(AU111/AU$116,0)</f>
        <v>1</v>
      </c>
      <c r="AV136" s="223"/>
      <c r="AY136" s="988">
        <f>IFERROR(AY111/AY$116,0)</f>
        <v>0.9370721289368501</v>
      </c>
    </row>
    <row r="137" spans="3:51">
      <c r="D137" s="177" t="s">
        <v>316</v>
      </c>
      <c r="E137" s="223">
        <f t="shared" si="42"/>
        <v>0</v>
      </c>
      <c r="F137" s="223">
        <f t="shared" si="42"/>
        <v>0</v>
      </c>
      <c r="J137" s="337">
        <f t="shared" si="43"/>
        <v>3.1388159471401972E-2</v>
      </c>
      <c r="K137" s="223">
        <f t="shared" si="43"/>
        <v>0</v>
      </c>
      <c r="L137" s="223">
        <f t="shared" si="43"/>
        <v>0</v>
      </c>
      <c r="P137" s="337">
        <f t="shared" si="44"/>
        <v>1.7887611487562821E-2</v>
      </c>
      <c r="Q137" s="223">
        <f t="shared" si="44"/>
        <v>0</v>
      </c>
      <c r="R137" s="223">
        <f t="shared" si="44"/>
        <v>0</v>
      </c>
      <c r="S137" s="223">
        <f t="shared" si="44"/>
        <v>0</v>
      </c>
      <c r="W137" s="337">
        <f t="shared" si="45"/>
        <v>3.3712313231647553E-4</v>
      </c>
      <c r="X137" s="223">
        <f t="shared" si="45"/>
        <v>0</v>
      </c>
      <c r="Y137" s="223">
        <f t="shared" si="45"/>
        <v>0</v>
      </c>
      <c r="Z137" s="223">
        <f t="shared" si="45"/>
        <v>0</v>
      </c>
      <c r="AD137" s="337">
        <f t="shared" si="46"/>
        <v>3.5078337011707952E-3</v>
      </c>
      <c r="AE137" s="223">
        <f t="shared" si="46"/>
        <v>0</v>
      </c>
      <c r="AF137" s="223">
        <f t="shared" si="46"/>
        <v>0</v>
      </c>
      <c r="AG137" s="223">
        <f t="shared" si="46"/>
        <v>0</v>
      </c>
      <c r="AK137" s="728">
        <f t="shared" si="47"/>
        <v>2.9111556761917293E-3</v>
      </c>
      <c r="AL137" s="223">
        <f t="shared" si="47"/>
        <v>0</v>
      </c>
      <c r="AM137" s="223">
        <f t="shared" si="47"/>
        <v>0</v>
      </c>
      <c r="AN137" s="223">
        <f t="shared" si="47"/>
        <v>0</v>
      </c>
      <c r="AR137" s="728">
        <f t="shared" si="48"/>
        <v>2.410460084515181E-3</v>
      </c>
      <c r="AS137" s="223">
        <f t="shared" si="48"/>
        <v>0</v>
      </c>
      <c r="AT137" s="223"/>
      <c r="AU137" s="223">
        <f t="shared" si="49"/>
        <v>0</v>
      </c>
      <c r="AV137" s="223"/>
      <c r="AY137" s="989">
        <f>IFERROR(AY112/AY$116,0)</f>
        <v>2.1792769864704968E-3</v>
      </c>
    </row>
    <row r="138" spans="3:51">
      <c r="D138" s="177" t="s">
        <v>318</v>
      </c>
      <c r="E138" s="223">
        <f t="shared" si="42"/>
        <v>0</v>
      </c>
      <c r="F138" s="223">
        <f t="shared" si="42"/>
        <v>0</v>
      </c>
      <c r="J138" s="337">
        <f t="shared" si="43"/>
        <v>3.1688327332847238E-2</v>
      </c>
      <c r="K138" s="223">
        <f t="shared" si="43"/>
        <v>0</v>
      </c>
      <c r="L138" s="223">
        <f t="shared" si="43"/>
        <v>0</v>
      </c>
      <c r="P138" s="337">
        <f t="shared" si="44"/>
        <v>3.2928245241443166E-2</v>
      </c>
      <c r="Q138" s="223">
        <f t="shared" si="44"/>
        <v>0</v>
      </c>
      <c r="R138" s="223">
        <f t="shared" si="44"/>
        <v>0</v>
      </c>
      <c r="S138" s="223">
        <f t="shared" si="44"/>
        <v>0</v>
      </c>
      <c r="W138" s="337">
        <f t="shared" si="45"/>
        <v>2.3459718933262971E-2</v>
      </c>
      <c r="X138" s="223">
        <f t="shared" si="45"/>
        <v>0</v>
      </c>
      <c r="Y138" s="223">
        <f t="shared" si="45"/>
        <v>0</v>
      </c>
      <c r="Z138" s="223">
        <f t="shared" si="45"/>
        <v>0</v>
      </c>
      <c r="AD138" s="337">
        <f t="shared" si="46"/>
        <v>1.5252886305326188E-2</v>
      </c>
      <c r="AE138" s="223">
        <f t="shared" si="46"/>
        <v>0</v>
      </c>
      <c r="AF138" s="223">
        <f t="shared" si="46"/>
        <v>0</v>
      </c>
      <c r="AG138" s="223">
        <f t="shared" si="46"/>
        <v>0</v>
      </c>
      <c r="AK138" s="337">
        <f t="shared" si="47"/>
        <v>1.3584640335371025E-2</v>
      </c>
      <c r="AL138" s="223">
        <f t="shared" si="47"/>
        <v>0</v>
      </c>
      <c r="AM138" s="223">
        <f t="shared" si="47"/>
        <v>0</v>
      </c>
      <c r="AN138" s="223">
        <f t="shared" si="47"/>
        <v>0</v>
      </c>
      <c r="AR138" s="337">
        <f t="shared" si="48"/>
        <v>1.1983821442902177E-2</v>
      </c>
      <c r="AS138" s="223">
        <f t="shared" si="48"/>
        <v>0</v>
      </c>
      <c r="AT138" s="223"/>
      <c r="AU138" s="223">
        <f t="shared" si="49"/>
        <v>0</v>
      </c>
      <c r="AV138" s="223"/>
      <c r="AY138" s="357">
        <f>IFERROR(AY113/AY$116,0)</f>
        <v>1.0825441505013801E-2</v>
      </c>
    </row>
    <row r="139" spans="3:51">
      <c r="D139" s="177" t="s">
        <v>319</v>
      </c>
      <c r="E139" s="223">
        <f t="shared" si="42"/>
        <v>0</v>
      </c>
      <c r="F139" s="223">
        <f t="shared" si="42"/>
        <v>0</v>
      </c>
      <c r="J139" s="337">
        <f t="shared" si="43"/>
        <v>2.0610230040219633E-3</v>
      </c>
      <c r="K139" s="223">
        <f t="shared" si="43"/>
        <v>0</v>
      </c>
      <c r="L139" s="223">
        <f t="shared" si="43"/>
        <v>0</v>
      </c>
      <c r="P139" s="337">
        <f t="shared" si="44"/>
        <v>4.1941355657410467E-4</v>
      </c>
      <c r="Q139" s="223">
        <f t="shared" si="44"/>
        <v>0</v>
      </c>
      <c r="R139" s="223">
        <f t="shared" si="44"/>
        <v>0</v>
      </c>
      <c r="S139" s="223">
        <f t="shared" si="44"/>
        <v>0</v>
      </c>
      <c r="W139" s="337">
        <f t="shared" si="45"/>
        <v>3.2705181293429578E-3</v>
      </c>
      <c r="X139" s="223">
        <f t="shared" si="45"/>
        <v>0</v>
      </c>
      <c r="Y139" s="223">
        <f t="shared" si="45"/>
        <v>0</v>
      </c>
      <c r="Z139" s="223">
        <f t="shared" si="45"/>
        <v>0</v>
      </c>
      <c r="AD139" s="337">
        <f t="shared" si="46"/>
        <v>3.4335501639695316E-3</v>
      </c>
      <c r="AE139" s="223">
        <f t="shared" si="46"/>
        <v>0</v>
      </c>
      <c r="AF139" s="223">
        <f t="shared" si="46"/>
        <v>0</v>
      </c>
      <c r="AG139" s="223">
        <f t="shared" si="46"/>
        <v>0</v>
      </c>
      <c r="AK139" s="337">
        <f t="shared" si="47"/>
        <v>4.9460286507834652E-3</v>
      </c>
      <c r="AL139" s="223">
        <f t="shared" si="47"/>
        <v>0</v>
      </c>
      <c r="AM139" s="223">
        <f t="shared" si="47"/>
        <v>0</v>
      </c>
      <c r="AN139" s="223">
        <f t="shared" si="47"/>
        <v>0</v>
      </c>
      <c r="AR139" s="337">
        <f t="shared" si="48"/>
        <v>4.9883132304550269E-3</v>
      </c>
      <c r="AS139" s="223">
        <f t="shared" si="48"/>
        <v>0</v>
      </c>
      <c r="AT139" s="223"/>
      <c r="AU139" s="223">
        <f t="shared" si="49"/>
        <v>0</v>
      </c>
      <c r="AV139" s="223"/>
      <c r="AY139" s="357">
        <f>IFERROR(AY114/AY$116,0)</f>
        <v>4.2996972035933461E-3</v>
      </c>
    </row>
    <row r="140" spans="3:51">
      <c r="D140" s="177" t="s">
        <v>320</v>
      </c>
      <c r="E140" s="223">
        <f t="shared" si="42"/>
        <v>0</v>
      </c>
      <c r="F140" s="223">
        <f t="shared" si="42"/>
        <v>0</v>
      </c>
      <c r="J140" s="337">
        <f t="shared" si="43"/>
        <v>0.23564093724904245</v>
      </c>
      <c r="K140" s="223">
        <f t="shared" si="43"/>
        <v>0</v>
      </c>
      <c r="L140" s="223">
        <f t="shared" si="43"/>
        <v>0</v>
      </c>
      <c r="P140" s="337">
        <f t="shared" si="44"/>
        <v>0.24197885549735026</v>
      </c>
      <c r="Q140" s="223">
        <f t="shared" si="44"/>
        <v>0</v>
      </c>
      <c r="R140" s="223">
        <f t="shared" si="44"/>
        <v>0</v>
      </c>
      <c r="S140" s="223">
        <f t="shared" si="44"/>
        <v>0</v>
      </c>
      <c r="W140" s="337">
        <f t="shared" si="45"/>
        <v>8.5696738919558896E-2</v>
      </c>
      <c r="X140" s="223">
        <f t="shared" si="45"/>
        <v>0</v>
      </c>
      <c r="Y140" s="223">
        <f t="shared" si="45"/>
        <v>0</v>
      </c>
      <c r="Z140" s="223">
        <f t="shared" si="45"/>
        <v>0</v>
      </c>
      <c r="AD140" s="337">
        <f t="shared" si="46"/>
        <v>6.4930414494989208E-2</v>
      </c>
      <c r="AE140" s="223">
        <f t="shared" si="46"/>
        <v>0</v>
      </c>
      <c r="AF140" s="223">
        <f t="shared" si="46"/>
        <v>0</v>
      </c>
      <c r="AG140" s="223">
        <f t="shared" si="46"/>
        <v>0</v>
      </c>
      <c r="AK140" s="337">
        <f t="shared" si="47"/>
        <v>5.7823366002743862E-2</v>
      </c>
      <c r="AL140" s="223">
        <f t="shared" si="47"/>
        <v>0</v>
      </c>
      <c r="AM140" s="223">
        <f t="shared" si="47"/>
        <v>0</v>
      </c>
      <c r="AN140" s="223">
        <f t="shared" si="47"/>
        <v>0</v>
      </c>
      <c r="AR140" s="337">
        <f t="shared" si="48"/>
        <v>5.0723141121881317E-2</v>
      </c>
      <c r="AS140" s="223">
        <f t="shared" si="48"/>
        <v>0</v>
      </c>
      <c r="AT140" s="223"/>
      <c r="AU140" s="223">
        <f t="shared" si="49"/>
        <v>0</v>
      </c>
      <c r="AV140" s="223"/>
      <c r="AY140" s="357">
        <f>IFERROR(AY115/AY$116,0)</f>
        <v>4.562345536807224E-2</v>
      </c>
    </row>
    <row r="141" spans="3:51" ht="13.5" thickBot="1">
      <c r="D141" s="116" t="s">
        <v>323</v>
      </c>
      <c r="E141" s="224">
        <f>SUM(E136:E140)</f>
        <v>1</v>
      </c>
      <c r="F141" s="224">
        <f>SUM(F136:F140)</f>
        <v>0</v>
      </c>
      <c r="G141" s="91"/>
      <c r="H141" s="106"/>
      <c r="I141" s="106"/>
      <c r="J141" s="338">
        <f>SUM(J136:J140)</f>
        <v>0.99999999999999989</v>
      </c>
      <c r="K141" s="224">
        <f>SUM(K136:K140)</f>
        <v>1</v>
      </c>
      <c r="L141" s="224">
        <f>SUM(L136:L140)</f>
        <v>0</v>
      </c>
      <c r="M141" s="106"/>
      <c r="N141" s="106"/>
      <c r="O141" s="106"/>
      <c r="P141" s="338">
        <f>SUM(P136:P140)</f>
        <v>1</v>
      </c>
      <c r="Q141" s="224">
        <f>SUM(Q136:Q140)</f>
        <v>1</v>
      </c>
      <c r="R141" s="224">
        <f>SUM(R136:R140)</f>
        <v>1</v>
      </c>
      <c r="S141" s="224">
        <f>SUM(S136:S140)</f>
        <v>1</v>
      </c>
      <c r="T141" s="106"/>
      <c r="U141" s="106"/>
      <c r="V141" s="106"/>
      <c r="W141" s="338">
        <f>SUM(W136:W140)</f>
        <v>1</v>
      </c>
      <c r="X141" s="224">
        <f>SUM(X136:X140)</f>
        <v>1</v>
      </c>
      <c r="Y141" s="224">
        <f>SUM(Y136:Y140)</f>
        <v>1</v>
      </c>
      <c r="Z141" s="224">
        <f>SUM(Z136:Z140)</f>
        <v>1</v>
      </c>
      <c r="AA141" s="106"/>
      <c r="AB141" s="106"/>
      <c r="AC141" s="106"/>
      <c r="AD141" s="338">
        <f>SUM(AD136:AD140)</f>
        <v>1</v>
      </c>
      <c r="AE141" s="224">
        <f>SUM(AE136:AE140)</f>
        <v>1</v>
      </c>
      <c r="AF141" s="224">
        <f>SUM(AF136:AF140)</f>
        <v>1</v>
      </c>
      <c r="AG141" s="224">
        <f>SUM(AG136:AG140)</f>
        <v>1</v>
      </c>
      <c r="AH141" s="106"/>
      <c r="AI141" s="106"/>
      <c r="AJ141" s="106"/>
      <c r="AK141" s="338">
        <f>SUM(AK136:AK140)</f>
        <v>0.99999999999999989</v>
      </c>
      <c r="AL141" s="224">
        <f>SUM(AL136:AL140)</f>
        <v>1</v>
      </c>
      <c r="AM141" s="224">
        <f>SUM(AM136:AM140)</f>
        <v>1</v>
      </c>
      <c r="AN141" s="224">
        <f>SUM(AN136:AN140)</f>
        <v>1</v>
      </c>
      <c r="AO141" s="106"/>
      <c r="AP141" s="106"/>
      <c r="AQ141" s="106"/>
      <c r="AR141" s="338">
        <f>SUM(AR136:AR140)</f>
        <v>1</v>
      </c>
      <c r="AS141" s="224">
        <f>SUM(AS136:AS140)</f>
        <v>1</v>
      </c>
      <c r="AT141" s="224"/>
      <c r="AU141" s="224">
        <f>SUM(AU136:AU140)</f>
        <v>1</v>
      </c>
      <c r="AV141" s="224"/>
      <c r="AW141" s="106"/>
      <c r="AX141" s="106"/>
      <c r="AY141" s="990">
        <f>SUM(AY136:AY140)</f>
        <v>1</v>
      </c>
    </row>
    <row r="142" spans="3:51" ht="13.5" thickTop="1">
      <c r="D142" s="250"/>
    </row>
    <row r="143" spans="3:51" ht="13">
      <c r="D143" s="364" t="s">
        <v>328</v>
      </c>
      <c r="E143" s="307"/>
      <c r="F143" s="307"/>
      <c r="G143" s="307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62"/>
      <c r="Z143" s="362"/>
      <c r="AA143" s="362"/>
      <c r="AB143" s="362"/>
      <c r="AC143" s="362"/>
      <c r="AD143" s="362"/>
      <c r="AE143" s="362"/>
      <c r="AF143" s="362"/>
      <c r="AG143" s="362"/>
      <c r="AH143" s="362"/>
      <c r="AI143" s="362"/>
      <c r="AJ143" s="362"/>
      <c r="AK143" s="362"/>
      <c r="AL143" s="362"/>
      <c r="AM143" s="362"/>
      <c r="AN143" s="362"/>
      <c r="AO143" s="362"/>
      <c r="AP143" s="362"/>
      <c r="AQ143" s="362"/>
      <c r="AR143" s="362"/>
      <c r="AS143" s="362"/>
      <c r="AT143" s="362"/>
      <c r="AU143" s="362"/>
      <c r="AV143" s="362"/>
      <c r="AW143" s="362"/>
      <c r="AX143" s="362"/>
      <c r="AY143" s="362"/>
    </row>
    <row r="144" spans="3:51">
      <c r="D144" s="218" t="s">
        <v>95</v>
      </c>
      <c r="E144" s="223">
        <f t="shared" ref="E144:F147" si="50">IFERROR(E120/E$124,0)</f>
        <v>0.28157683024939661</v>
      </c>
      <c r="F144" s="223">
        <f t="shared" si="50"/>
        <v>0</v>
      </c>
      <c r="J144" s="337">
        <f t="shared" ref="J144:L147" si="51">IFERROR(J120/J$124,0)</f>
        <v>0.27646778506281089</v>
      </c>
      <c r="K144" s="223">
        <f t="shared" si="51"/>
        <v>0.3436928702010969</v>
      </c>
      <c r="L144" s="223">
        <f t="shared" si="51"/>
        <v>0</v>
      </c>
      <c r="M144" s="68"/>
      <c r="P144" s="337">
        <f t="shared" ref="P144:S147" si="52">IFERROR(P120/P$124,0)</f>
        <v>0.6295192149135479</v>
      </c>
      <c r="Q144" s="223">
        <f t="shared" si="52"/>
        <v>0.38668555240793201</v>
      </c>
      <c r="R144" s="223">
        <f t="shared" si="52"/>
        <v>0.37401574803149606</v>
      </c>
      <c r="S144" s="223">
        <f t="shared" si="52"/>
        <v>0.5</v>
      </c>
      <c r="W144" s="337">
        <f t="shared" ref="W144:Z147" si="53">IFERROR(W120/W$124,0)</f>
        <v>0.61681698588989742</v>
      </c>
      <c r="X144" s="223">
        <f t="shared" si="53"/>
        <v>0.37427559562137797</v>
      </c>
      <c r="Y144" s="223">
        <f t="shared" si="53"/>
        <v>0.36274158911954191</v>
      </c>
      <c r="Z144" s="223">
        <f t="shared" si="53"/>
        <v>0.47756410256410248</v>
      </c>
      <c r="AD144" s="337">
        <f t="shared" ref="AD144:AG147" si="54">IFERROR(AD120/AD$124,0)</f>
        <v>0.52168888384411927</v>
      </c>
      <c r="AE144" s="223">
        <f>IFERROR(AE120/AE$124,0)</f>
        <v>0.36299765807962531</v>
      </c>
      <c r="AF144" s="223">
        <f t="shared" si="54"/>
        <v>0.35247234873129479</v>
      </c>
      <c r="AG144" s="223">
        <f t="shared" si="54"/>
        <v>0.45760233918128645</v>
      </c>
      <c r="AK144" s="337">
        <f t="shared" ref="AK144:AN147" si="55">IFERROR(AK120/AK$124,0)</f>
        <v>0.52948385406453458</v>
      </c>
      <c r="AL144" s="223">
        <f t="shared" si="55"/>
        <v>0.3527142096860032</v>
      </c>
      <c r="AM144" s="223">
        <f t="shared" si="55"/>
        <v>0.34314015375517443</v>
      </c>
      <c r="AN144" s="223">
        <f t="shared" si="55"/>
        <v>0.43882978723404253</v>
      </c>
      <c r="AR144" s="337">
        <f t="shared" ref="AR144:AS147" si="56">IFERROR(AR120/AR$124,0)</f>
        <v>0.5287059232702338</v>
      </c>
      <c r="AS144" s="223">
        <f t="shared" si="56"/>
        <v>0.34337203676826322</v>
      </c>
      <c r="AT144" s="223"/>
      <c r="AU144" s="223">
        <f t="shared" ref="AU144:AU147" si="57">IFERROR(AU120/AU$124,0)</f>
        <v>0.42149758454106273</v>
      </c>
      <c r="AV144" s="223"/>
      <c r="AY144" s="988">
        <f>IFERROR(AY120/AY$124,0)</f>
        <v>0.52485660253304744</v>
      </c>
    </row>
    <row r="145" spans="4:51">
      <c r="D145" s="218" t="s">
        <v>301</v>
      </c>
      <c r="E145" s="223">
        <f t="shared" si="50"/>
        <v>0.26709573612228482</v>
      </c>
      <c r="F145" s="223">
        <f t="shared" si="50"/>
        <v>0</v>
      </c>
      <c r="J145" s="337">
        <f t="shared" si="51"/>
        <v>0.20819899934861619</v>
      </c>
      <c r="K145" s="223">
        <f t="shared" si="51"/>
        <v>0.21023765996343693</v>
      </c>
      <c r="L145" s="223">
        <f t="shared" si="51"/>
        <v>0</v>
      </c>
      <c r="M145" s="68"/>
      <c r="P145" s="337">
        <f t="shared" si="52"/>
        <v>0.13322263174168333</v>
      </c>
      <c r="Q145" s="223">
        <f t="shared" si="52"/>
        <v>0.17280453257790368</v>
      </c>
      <c r="R145" s="223">
        <f t="shared" si="52"/>
        <v>0.16976377952755906</v>
      </c>
      <c r="S145" s="223">
        <f t="shared" si="52"/>
        <v>0.19999999999999998</v>
      </c>
      <c r="W145" s="337">
        <f t="shared" si="53"/>
        <v>0.12874790222594668</v>
      </c>
      <c r="X145" s="223">
        <f t="shared" si="53"/>
        <v>0.17981326464906627</v>
      </c>
      <c r="Y145" s="223">
        <f t="shared" si="53"/>
        <v>0.17705798138869006</v>
      </c>
      <c r="Z145" s="223">
        <f t="shared" si="53"/>
        <v>0.20448717948717951</v>
      </c>
      <c r="AD145" s="337">
        <f t="shared" si="54"/>
        <v>0.19043423918305794</v>
      </c>
      <c r="AE145" s="223">
        <f>IFERROR(AE121/AE$124,0)</f>
        <v>0.18618266978922712</v>
      </c>
      <c r="AF145" s="223">
        <f t="shared" si="54"/>
        <v>0.18370201691607027</v>
      </c>
      <c r="AG145" s="223">
        <f t="shared" si="54"/>
        <v>0.20847953216374274</v>
      </c>
      <c r="AK145" s="337">
        <f t="shared" si="55"/>
        <v>0.18256178682823992</v>
      </c>
      <c r="AL145" s="223">
        <f t="shared" si="55"/>
        <v>0.19199042043640233</v>
      </c>
      <c r="AM145" s="223">
        <f t="shared" si="55"/>
        <v>0.18973979893554108</v>
      </c>
      <c r="AN145" s="223">
        <f t="shared" si="55"/>
        <v>0.21223404255319153</v>
      </c>
      <c r="AR145" s="337">
        <f t="shared" si="56"/>
        <v>0.17225896986002376</v>
      </c>
      <c r="AS145" s="223">
        <f t="shared" si="56"/>
        <v>0.19726656990807936</v>
      </c>
      <c r="AT145" s="223"/>
      <c r="AU145" s="223">
        <f t="shared" si="57"/>
        <v>0.21570048309178746</v>
      </c>
      <c r="AV145" s="223"/>
      <c r="AY145" s="357">
        <f>IFERROR(AY121/AY$124,0)</f>
        <v>0.16206633912940302</v>
      </c>
    </row>
    <row r="146" spans="4:51">
      <c r="D146" s="218" t="s">
        <v>102</v>
      </c>
      <c r="E146" s="223">
        <f t="shared" si="50"/>
        <v>0.24698310539018503</v>
      </c>
      <c r="F146" s="223">
        <f t="shared" si="50"/>
        <v>0</v>
      </c>
      <c r="J146" s="337">
        <f t="shared" si="51"/>
        <v>0.22949201420843968</v>
      </c>
      <c r="K146" s="223">
        <f t="shared" si="51"/>
        <v>0.19652650822669104</v>
      </c>
      <c r="L146" s="223">
        <f t="shared" si="51"/>
        <v>0</v>
      </c>
      <c r="M146" s="68"/>
      <c r="P146" s="337">
        <f t="shared" si="52"/>
        <v>0.10582206246915934</v>
      </c>
      <c r="Q146" s="223">
        <f t="shared" si="52"/>
        <v>0.2245042492917847</v>
      </c>
      <c r="R146" s="223">
        <f t="shared" si="52"/>
        <v>0.227244094488189</v>
      </c>
      <c r="S146" s="223">
        <f t="shared" si="52"/>
        <v>0.19999999999999998</v>
      </c>
      <c r="W146" s="337">
        <f t="shared" si="53"/>
        <v>0.1501934325561109</v>
      </c>
      <c r="X146" s="223">
        <f t="shared" si="53"/>
        <v>0.22681905988409529</v>
      </c>
      <c r="Y146" s="223">
        <f t="shared" si="53"/>
        <v>0.2293128131710809</v>
      </c>
      <c r="Z146" s="223">
        <f t="shared" si="53"/>
        <v>0.20448717948717951</v>
      </c>
      <c r="AD146" s="337">
        <f t="shared" si="54"/>
        <v>0.19225386754807858</v>
      </c>
      <c r="AE146" s="223">
        <f>IFERROR(AE122/AE$124,0)</f>
        <v>0.22892271662763466</v>
      </c>
      <c r="AF146" s="223">
        <f t="shared" si="54"/>
        <v>0.23119713728041641</v>
      </c>
      <c r="AG146" s="223">
        <f t="shared" si="54"/>
        <v>0.20847953216374274</v>
      </c>
      <c r="AK146" s="337">
        <f t="shared" si="55"/>
        <v>0.18520471119498086</v>
      </c>
      <c r="AL146" s="223">
        <f t="shared" si="55"/>
        <v>0.23084087280468335</v>
      </c>
      <c r="AM146" s="223">
        <f t="shared" si="55"/>
        <v>0.23290952099349496</v>
      </c>
      <c r="AN146" s="223">
        <f t="shared" si="55"/>
        <v>0.21223404255319153</v>
      </c>
      <c r="AR146" s="337">
        <f t="shared" si="56"/>
        <v>0.17564336496945196</v>
      </c>
      <c r="AS146" s="223">
        <f t="shared" si="56"/>
        <v>0.23258345428156751</v>
      </c>
      <c r="AT146" s="223"/>
      <c r="AU146" s="223">
        <f t="shared" si="57"/>
        <v>0.21570048309178746</v>
      </c>
      <c r="AV146" s="223"/>
      <c r="AY146" s="357">
        <f>IFERROR(AY122/AY$124,0)</f>
        <v>0.16661001228547218</v>
      </c>
    </row>
    <row r="147" spans="4:51">
      <c r="D147" s="218" t="s">
        <v>107</v>
      </c>
      <c r="E147" s="223">
        <f t="shared" si="50"/>
        <v>0.20434432823813356</v>
      </c>
      <c r="F147" s="223">
        <f t="shared" si="50"/>
        <v>0</v>
      </c>
      <c r="J147" s="337">
        <f t="shared" si="51"/>
        <v>0.28584120138013319</v>
      </c>
      <c r="K147" s="223">
        <f t="shared" si="51"/>
        <v>0.24954296160877515</v>
      </c>
      <c r="L147" s="223">
        <f t="shared" si="51"/>
        <v>0</v>
      </c>
      <c r="M147" s="68"/>
      <c r="P147" s="337">
        <f t="shared" si="52"/>
        <v>0.13143609087560959</v>
      </c>
      <c r="Q147" s="223">
        <f t="shared" si="52"/>
        <v>0.21600566572237961</v>
      </c>
      <c r="R147" s="223">
        <f t="shared" si="52"/>
        <v>0.22897637795275588</v>
      </c>
      <c r="S147" s="223">
        <f t="shared" si="52"/>
        <v>0.10000000000000002</v>
      </c>
      <c r="W147" s="337">
        <f t="shared" si="53"/>
        <v>0.104241679328045</v>
      </c>
      <c r="X147" s="223">
        <f t="shared" si="53"/>
        <v>0.21909207984546036</v>
      </c>
      <c r="Y147" s="223">
        <f t="shared" si="53"/>
        <v>0.23088761632068719</v>
      </c>
      <c r="Z147" s="223">
        <f t="shared" si="53"/>
        <v>0.11346153846153847</v>
      </c>
      <c r="AD147" s="337">
        <f t="shared" si="54"/>
        <v>9.5623009424744096E-2</v>
      </c>
      <c r="AE147" s="223">
        <f>IFERROR(AE123/AE$124,0)</f>
        <v>0.22189695550351285</v>
      </c>
      <c r="AF147" s="223">
        <f t="shared" si="54"/>
        <v>0.23262849707221861</v>
      </c>
      <c r="AG147" s="223">
        <f t="shared" si="54"/>
        <v>0.1254385964912281</v>
      </c>
      <c r="AK147" s="337">
        <f t="shared" si="55"/>
        <v>0.10274964791224464</v>
      </c>
      <c r="AL147" s="223">
        <f t="shared" si="55"/>
        <v>0.22445449707291112</v>
      </c>
      <c r="AM147" s="223">
        <f t="shared" si="55"/>
        <v>0.23421052631578948</v>
      </c>
      <c r="AN147" s="223">
        <f t="shared" si="55"/>
        <v>0.13670212765957448</v>
      </c>
      <c r="AR147" s="337">
        <f t="shared" si="56"/>
        <v>0.12339174190029036</v>
      </c>
      <c r="AS147" s="223">
        <f t="shared" si="56"/>
        <v>0.22677793904209001</v>
      </c>
      <c r="AT147" s="223"/>
      <c r="AU147" s="223">
        <f t="shared" si="57"/>
        <v>0.14710144927536234</v>
      </c>
      <c r="AV147" s="223"/>
      <c r="AY147" s="357">
        <f>IFERROR(AY123/AY$124,0)</f>
        <v>0.14646704605207755</v>
      </c>
    </row>
    <row r="148" spans="4:51" ht="13.5" thickBot="1">
      <c r="D148" s="116" t="s">
        <v>323</v>
      </c>
      <c r="E148" s="225">
        <f>SUM(E144:E147)</f>
        <v>0.99999999999999989</v>
      </c>
      <c r="F148" s="225">
        <f>SUM(F144:F147)</f>
        <v>0</v>
      </c>
      <c r="G148" s="91"/>
      <c r="H148" s="106"/>
      <c r="I148" s="106"/>
      <c r="J148" s="339">
        <f>SUM(J144:J147)</f>
        <v>1</v>
      </c>
      <c r="K148" s="225">
        <f>SUM(K144:K147)</f>
        <v>1</v>
      </c>
      <c r="L148" s="225">
        <f>SUM(L144:L147)</f>
        <v>0</v>
      </c>
      <c r="M148" s="91"/>
      <c r="N148" s="106"/>
      <c r="O148" s="106"/>
      <c r="P148" s="339">
        <f>SUM(P144:P147)</f>
        <v>1.0000000000000002</v>
      </c>
      <c r="Q148" s="225">
        <f>SUM(Q144:Q147)</f>
        <v>1</v>
      </c>
      <c r="R148" s="225">
        <f>SUM(R144:R147)</f>
        <v>1</v>
      </c>
      <c r="S148" s="225">
        <f>SUM(S144:S147)</f>
        <v>0.99999999999999989</v>
      </c>
      <c r="T148" s="106"/>
      <c r="U148" s="106"/>
      <c r="V148" s="106"/>
      <c r="W148" s="339">
        <f>SUM(W144:W147)</f>
        <v>1</v>
      </c>
      <c r="X148" s="225">
        <f>SUM(X144:X147)</f>
        <v>0.99999999999999978</v>
      </c>
      <c r="Y148" s="225">
        <f>SUM(Y144:Y147)</f>
        <v>1</v>
      </c>
      <c r="Z148" s="225">
        <f>SUM(Z144:Z147)</f>
        <v>1</v>
      </c>
      <c r="AA148" s="106"/>
      <c r="AB148" s="106"/>
      <c r="AC148" s="106"/>
      <c r="AD148" s="339">
        <f>SUM(AD144:AD147)</f>
        <v>0.99999999999999989</v>
      </c>
      <c r="AE148" s="225">
        <f>SUM(AE144:AE147)</f>
        <v>0.99999999999999989</v>
      </c>
      <c r="AF148" s="225">
        <f>SUM(AF144:AF147)</f>
        <v>1</v>
      </c>
      <c r="AG148" s="225">
        <f>SUM(AG144:AG147)</f>
        <v>1</v>
      </c>
      <c r="AH148" s="106"/>
      <c r="AI148" s="106"/>
      <c r="AJ148" s="106"/>
      <c r="AK148" s="339">
        <f>SUM(AK144:AK147)</f>
        <v>0.99999999999999989</v>
      </c>
      <c r="AL148" s="225">
        <f>SUM(AL144:AL147)</f>
        <v>1</v>
      </c>
      <c r="AM148" s="225">
        <f>SUM(AM144:AM147)</f>
        <v>1</v>
      </c>
      <c r="AN148" s="225">
        <f>SUM(AN144:AN147)</f>
        <v>1.0000000000000002</v>
      </c>
      <c r="AO148" s="106"/>
      <c r="AP148" s="106"/>
      <c r="AQ148" s="106"/>
      <c r="AR148" s="339">
        <f>SUM(AR144:AR147)</f>
        <v>0.99999999999999989</v>
      </c>
      <c r="AS148" s="225">
        <f>SUM(AS144:AS147)</f>
        <v>1.0000000000000002</v>
      </c>
      <c r="AT148" s="225"/>
      <c r="AU148" s="225">
        <f>SUM(AU144:AU147)</f>
        <v>1</v>
      </c>
      <c r="AV148" s="225"/>
      <c r="AW148" s="106"/>
      <c r="AX148" s="106"/>
      <c r="AY148" s="991">
        <f>SUM(AY144:AY147)</f>
        <v>1.0000000000000002</v>
      </c>
    </row>
    <row r="149" spans="4:51" ht="13" thickTop="1"/>
  </sheetData>
  <mergeCells count="75">
    <mergeCell ref="B57:C57"/>
    <mergeCell ref="BA51:BA54"/>
    <mergeCell ref="BA7:BA10"/>
    <mergeCell ref="BA11:BA14"/>
    <mergeCell ref="BA15:BA18"/>
    <mergeCell ref="BA19:BA22"/>
    <mergeCell ref="BA23:BA26"/>
    <mergeCell ref="BA27:BA30"/>
    <mergeCell ref="BA31:BA34"/>
    <mergeCell ref="BA35:BA38"/>
    <mergeCell ref="BA39:BA42"/>
    <mergeCell ref="BA43:BA46"/>
    <mergeCell ref="BA47:BA50"/>
    <mergeCell ref="S51:S54"/>
    <mergeCell ref="S15:S18"/>
    <mergeCell ref="S35:S38"/>
    <mergeCell ref="BE51:BE54"/>
    <mergeCell ref="BD43:BD46"/>
    <mergeCell ref="BD47:BD50"/>
    <mergeCell ref="BD51:BD54"/>
    <mergeCell ref="BE31:BE34"/>
    <mergeCell ref="BE35:BE38"/>
    <mergeCell ref="BE39:BE42"/>
    <mergeCell ref="BE43:BE46"/>
    <mergeCell ref="BE47:BE50"/>
    <mergeCell ref="BD31:BD34"/>
    <mergeCell ref="BD35:BD38"/>
    <mergeCell ref="BD39:BD42"/>
    <mergeCell ref="BE27:BE30"/>
    <mergeCell ref="BD7:BD10"/>
    <mergeCell ref="BD11:BD14"/>
    <mergeCell ref="BD15:BD18"/>
    <mergeCell ref="BD19:BD22"/>
    <mergeCell ref="BD23:BD26"/>
    <mergeCell ref="BD27:BD30"/>
    <mergeCell ref="BE7:BE10"/>
    <mergeCell ref="BE11:BE14"/>
    <mergeCell ref="BE15:BE18"/>
    <mergeCell ref="BE19:BE22"/>
    <mergeCell ref="BE23:BE26"/>
    <mergeCell ref="BC51:BC54"/>
    <mergeCell ref="BB43:BB46"/>
    <mergeCell ref="BB47:BB50"/>
    <mergeCell ref="BB51:BB54"/>
    <mergeCell ref="BC31:BC34"/>
    <mergeCell ref="BC35:BC38"/>
    <mergeCell ref="BC39:BC42"/>
    <mergeCell ref="BC43:BC46"/>
    <mergeCell ref="BC47:BC50"/>
    <mergeCell ref="BB31:BB34"/>
    <mergeCell ref="BB35:BB38"/>
    <mergeCell ref="BB39:BB42"/>
    <mergeCell ref="BC27:BC30"/>
    <mergeCell ref="BB7:BB10"/>
    <mergeCell ref="BB11:BB14"/>
    <mergeCell ref="BB15:BB18"/>
    <mergeCell ref="BB19:BB22"/>
    <mergeCell ref="BB23:BB26"/>
    <mergeCell ref="BB27:BB30"/>
    <mergeCell ref="BC7:BC10"/>
    <mergeCell ref="BC11:BC14"/>
    <mergeCell ref="BC15:BC18"/>
    <mergeCell ref="BC19:BC22"/>
    <mergeCell ref="BC23:BC26"/>
    <mergeCell ref="S39:S42"/>
    <mergeCell ref="S43:S46"/>
    <mergeCell ref="S47:S50"/>
    <mergeCell ref="S19:S22"/>
    <mergeCell ref="S23:S26"/>
    <mergeCell ref="S31:S34"/>
    <mergeCell ref="E4:J4"/>
    <mergeCell ref="K4:P4"/>
    <mergeCell ref="Q4:W4"/>
    <mergeCell ref="S7:S10"/>
    <mergeCell ref="S11:S14"/>
  </mergeCells>
  <pageMargins left="0.7" right="0.7" top="0.75" bottom="0.75" header="0.3" footer="0.3"/>
  <customProperties>
    <customPr name="OrphanNamesChecke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g W T O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I F k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Z M 5 Y h k n B L R 4 B A A C a A Q A A E w A c A E Z v c m 1 1 b G F z L 1 N l Y 3 R p b 2 4 x L m 0 g o h g A K K A U A A A A A A A A A A A A A A A A A A A A A A A A A A A A b Z D P a 8 I w F I D v h f 4 P j w y G Q i 1 W x w 4 T T y 2 C I F t B d z I y n u 2 z D a R J S V K 3 I f 7 v S 6 0 7 D J b L g + / 9 / G K p c E I r 2 A 4 x W Y R B G N g a D Z W Q Y 0 X T 6 T M s Q Z I L A / B v q z t T k C d 5 e Y p 3 e J R k R y s h K U 6 1 c q S c H b H 0 h b 9 b M p a b m j C u u t Y h f 1 O U G X E m m M A W X i G r 8 R M V P E K q Y b P J e a a L r u m 7 + U b r x i + R a P h K K F S F Q G l 5 b v R Z W H 8 e S j i i 9 J j A 1 k Q O r K g U l R + z + W T 2 F L f l i Y 0 j 2 K + b V l I / D 3 u l J U v i O T u M o 8 G g l 0 q 8 w G B y 2 a / L J b u L s s N 1 n 6 H D w 7 3 0 g a U 1 q s r / x O 6 7 J e a b b s b x z q C y J 2 2 a V M u u U X 3 S j m 5 z o 8 u F D T B h E T i f A E d f 7 h r B L 5 / 9 4 d d x G A j 1 7 7 b F D 1 B L A Q I t A B Q A A g A I A I F k z l j A q f x H p Q A A A P Y A A A A S A A A A A A A A A A A A A A A A A A A A A A B D b 2 5 m a W c v U G F j a 2 F n Z S 5 4 b W x Q S w E C L Q A U A A I A C A C B Z M 5 Y D 8 r p q 6 Q A A A D p A A A A E w A A A A A A A A A A A A A A A A D x A A A A W 0 N v b n R l b n R f V H l w Z X N d L n h t b F B L A Q I t A B Q A A g A I A I F k z l i G S c E t H g E A A J o B A A A T A A A A A A A A A A A A A A A A A O I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J A A A A A A A A A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w M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l k Z j U y O S 1 j M 2 I 5 L T Q x M j U t O D A w Y y 1 k Y z Q 4 N m F k O G F m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w N z o w N T o 1 M y 4 1 N T M z N T E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i 9 B d X R v U m V t b 3 Z l Z E N v b H V t b n M x L n t D b 2 x 1 b W 4 x L D B 9 J n F 1 b 3 Q 7 L C Z x d W 9 0 O 1 N l Y 3 R p b 2 4 x L 1 B h Z 2 U w M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D A 2 L 0 F 1 d G 9 S Z W 1 v d m V k Q 2 9 s d W 1 u c z E u e 0 N v b H V t b j E s M H 0 m c X V v d D s s J n F 1 b 3 Q 7 U 2 V j d G l v b j E v U G F n Z T A w N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8 k 6 K Y e 8 4 5 C s N 2 v v G 0 b 9 V s A A A A A A g A A A A A A A 2 Y A A M A A A A A Q A A A A w G T S L K D 6 6 z 5 y 6 3 k + h W O L 5 Q A A A A A E g A A A o A A A A B A A A A A G k d e 6 n l p c N Y 2 O x p S l M Z F 2 U A A A A G 3 p h Q Y 6 U t T 4 / 2 v s y t K i h r 2 x B j H h 3 7 z W M o b w f c n p Y G S M E c c k H I d K o K I J u R r C Z X B s f F Z / O l g C M L 9 g a U U C M u f 6 K W i o Z p + V R w 4 4 b m T 4 K c D m R K a 6 F A A A A B 1 K c U S y M k 2 / z g G t Y 6 T n H s L U z 7 D F < / D a t a M a s h u p > 
</file>

<file path=customXml/itemProps1.xml><?xml version="1.0" encoding="utf-8"?>
<ds:datastoreItem xmlns:ds="http://schemas.openxmlformats.org/officeDocument/2006/customXml" ds:itemID="{F0FB1E4D-5858-4FB9-BB99-AFE19479FC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Discussion Points </vt:lpstr>
      <vt:lpstr>Sheet1</vt:lpstr>
      <vt:lpstr>P&amp;L</vt:lpstr>
      <vt:lpstr>Balance Sheet</vt:lpstr>
      <vt:lpstr>Cash Flow Statement</vt:lpstr>
      <vt:lpstr>Expenses</vt:lpstr>
      <vt:lpstr>Fin Analysis</vt:lpstr>
      <vt:lpstr>Manufacturing Setup </vt:lpstr>
      <vt:lpstr>Revenue </vt:lpstr>
      <vt:lpstr>Assum</vt:lpstr>
      <vt:lpstr>MarketingExps - FM</vt:lpstr>
      <vt:lpstr>WC Schedule</vt:lpstr>
      <vt:lpstr>Financial Analysis</vt:lpstr>
      <vt:lpstr>EBO Cost</vt:lpstr>
      <vt:lpstr>HR_29th June</vt:lpstr>
      <vt:lpstr>HR - old</vt:lpstr>
      <vt:lpstr>Warehouse Cost</vt:lpstr>
      <vt:lpstr>HR</vt:lpstr>
      <vt:lpstr>Revenue1</vt:lpstr>
      <vt:lpstr>Regional Office Cost</vt:lpstr>
      <vt:lpstr>Capex</vt:lpstr>
      <vt:lpstr>Tax Calculation</vt:lpstr>
      <vt:lpstr>Tax Dep </vt:lpstr>
      <vt:lpstr>EBO &amp; Distributor temp</vt:lpstr>
      <vt:lpstr>'Discussion Points 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Archita  Bansal</dc:creator>
  <cp:keywords/>
  <dc:description/>
  <cp:lastModifiedBy>rajorearti12@gmail.com</cp:lastModifiedBy>
  <cp:revision/>
  <dcterms:created xsi:type="dcterms:W3CDTF">2024-06-12T07:14:06Z</dcterms:created>
  <dcterms:modified xsi:type="dcterms:W3CDTF">2024-11-08T10:58:02Z</dcterms:modified>
  <cp:category/>
  <cp:contentStatus/>
</cp:coreProperties>
</file>