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isoul\Desktop\26.12 client\"/>
    </mc:Choice>
  </mc:AlternateContent>
  <xr:revisionPtr revIDLastSave="0" documentId="13_ncr:1_{B58DFC2C-5C70-49E9-A76F-B5AF521B55D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Початкові_таблиці" sheetId="1" r:id="rId1"/>
    <sheet name="Фільтри" sheetId="4" r:id="rId2"/>
    <sheet name="Підстановки та посилання" sheetId="5" r:id="rId3"/>
    <sheet name="Функції_БД" sheetId="2" r:id="rId4"/>
    <sheet name="Проміжні_підсумки" sheetId="3" r:id="rId5"/>
  </sheets>
  <definedNames>
    <definedName name="_xlnm._FilterDatabase" localSheetId="1" hidden="1">Фільтри!$A$2:$F$12</definedName>
    <definedName name="_xlnm.Extract" localSheetId="1">Фільтри!$A$82:$F$82</definedName>
    <definedName name="_xlnm.Criteria" localSheetId="1">Фільтри!$D$75:$D$76</definedName>
    <definedName name="Матеріали">Початкові_таблиці!$H$2:$I$9</definedName>
    <definedName name="Потреба">Початкові_таблиці!$A$2:$F$12</definedName>
  </definedNames>
  <calcPr calcId="191029"/>
  <pivotCaches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5" l="1"/>
  <c r="B20" i="5"/>
  <c r="B19" i="5"/>
  <c r="B18" i="5"/>
  <c r="D15" i="5"/>
  <c r="G13" i="5"/>
  <c r="E11" i="5"/>
  <c r="C9" i="5"/>
  <c r="B7" i="5"/>
  <c r="B3" i="5"/>
  <c r="B4" i="5"/>
  <c r="B2" i="5"/>
  <c r="D15" i="3"/>
  <c r="D6" i="3"/>
  <c r="D17" i="3" s="1"/>
  <c r="D16" i="3"/>
  <c r="D7" i="3"/>
  <c r="N30" i="2"/>
  <c r="O24" i="2"/>
  <c r="N17" i="2"/>
  <c r="K15" i="2"/>
  <c r="F35" i="2"/>
  <c r="D17" i="2"/>
  <c r="D29" i="2"/>
  <c r="D23" i="2"/>
  <c r="D76" i="4"/>
  <c r="F71" i="4"/>
  <c r="C71" i="4"/>
  <c r="F70" i="4"/>
  <c r="C70" i="4"/>
  <c r="F69" i="4"/>
  <c r="C69" i="4"/>
  <c r="F68" i="4"/>
  <c r="C68" i="4"/>
  <c r="F67" i="4"/>
  <c r="C67" i="4"/>
  <c r="F66" i="4"/>
  <c r="C66" i="4"/>
  <c r="F65" i="4"/>
  <c r="C65" i="4"/>
  <c r="F64" i="4"/>
  <c r="C64" i="4"/>
  <c r="F63" i="4"/>
  <c r="C63" i="4"/>
  <c r="F62" i="4"/>
  <c r="C62" i="4"/>
  <c r="D45" i="4"/>
  <c r="F33" i="4"/>
  <c r="D22" i="4"/>
  <c r="A22" i="4"/>
  <c r="H15" i="4"/>
  <c r="F12" i="4"/>
  <c r="C12" i="4"/>
  <c r="F11" i="4"/>
  <c r="C11" i="4"/>
  <c r="F10" i="4"/>
  <c r="C10" i="4"/>
  <c r="F9" i="4"/>
  <c r="C9" i="4"/>
  <c r="F8" i="4"/>
  <c r="C8" i="4"/>
  <c r="F7" i="4"/>
  <c r="C7" i="4"/>
  <c r="F6" i="4"/>
  <c r="C6" i="4"/>
  <c r="F5" i="4"/>
  <c r="C5" i="4"/>
  <c r="F4" i="4"/>
  <c r="C4" i="4"/>
  <c r="F3" i="4"/>
  <c r="C3" i="4"/>
  <c r="F14" i="3"/>
  <c r="C14" i="3"/>
  <c r="F13" i="3"/>
  <c r="C13" i="3"/>
  <c r="F12" i="3"/>
  <c r="C12" i="3"/>
  <c r="F11" i="3"/>
  <c r="C11" i="3"/>
  <c r="F5" i="3"/>
  <c r="F7" i="3" s="1"/>
  <c r="C5" i="3"/>
  <c r="F10" i="3"/>
  <c r="C10" i="3"/>
  <c r="F4" i="3"/>
  <c r="C4" i="3"/>
  <c r="F9" i="3"/>
  <c r="C9" i="3"/>
  <c r="F8" i="3"/>
  <c r="F16" i="3" s="1"/>
  <c r="C8" i="3"/>
  <c r="F3" i="3"/>
  <c r="F6" i="3" s="1"/>
  <c r="C3" i="3"/>
  <c r="F12" i="2"/>
  <c r="C12" i="2"/>
  <c r="F11" i="2"/>
  <c r="C11" i="2"/>
  <c r="F10" i="2"/>
  <c r="C10" i="2"/>
  <c r="F9" i="2"/>
  <c r="C9" i="2"/>
  <c r="F8" i="2"/>
  <c r="C8" i="2"/>
  <c r="F7" i="2"/>
  <c r="C7" i="2"/>
  <c r="F6" i="2"/>
  <c r="C6" i="2"/>
  <c r="F5" i="2"/>
  <c r="C5" i="2"/>
  <c r="F4" i="2"/>
  <c r="C4" i="2"/>
  <c r="F3" i="2"/>
  <c r="C3" i="2"/>
  <c r="C4" i="1"/>
  <c r="C5" i="1"/>
  <c r="C6" i="1"/>
  <c r="C7" i="1"/>
  <c r="C8" i="1"/>
  <c r="C9" i="1"/>
  <c r="C10" i="1"/>
  <c r="C11" i="1"/>
  <c r="C12" i="1"/>
  <c r="C3" i="1"/>
  <c r="F12" i="1"/>
  <c r="F11" i="1"/>
  <c r="F10" i="1"/>
  <c r="F9" i="1"/>
  <c r="F8" i="1"/>
  <c r="F7" i="1"/>
  <c r="F6" i="1"/>
  <c r="F5" i="1"/>
  <c r="F4" i="1"/>
  <c r="F3" i="1"/>
  <c r="B25" i="5" a="1"/>
  <c r="B24" i="5" a="1"/>
  <c r="B25" i="5" l="1"/>
  <c r="B24" i="5"/>
  <c r="D18" i="3"/>
  <c r="F15" i="3"/>
  <c r="F18" i="3"/>
  <c r="F1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<sst xmlns="http://schemas.openxmlformats.org/spreadsheetml/2006/main" count="310" uniqueCount="83">
  <si>
    <t>Відомість потреби в матеріалах</t>
  </si>
  <si>
    <t>Місяць</t>
  </si>
  <si>
    <t>Код виробу</t>
  </si>
  <si>
    <t>Назва матеріалу</t>
  </si>
  <si>
    <t>Кількість виробів</t>
  </si>
  <si>
    <t>Кількість матеріалу</t>
  </si>
  <si>
    <t>Потреба в матеріалах</t>
  </si>
  <si>
    <t>IZ.218</t>
  </si>
  <si>
    <t>Мідь</t>
  </si>
  <si>
    <t>PP.342</t>
  </si>
  <si>
    <t>Залізо</t>
  </si>
  <si>
    <t>RR.432</t>
  </si>
  <si>
    <t>Золото</t>
  </si>
  <si>
    <t>SS.123</t>
  </si>
  <si>
    <t>Срібло</t>
  </si>
  <si>
    <t>KL.543</t>
  </si>
  <si>
    <t>Нікель</t>
  </si>
  <si>
    <t>TR.423</t>
  </si>
  <si>
    <t>Олово</t>
  </si>
  <si>
    <t>WQ.432</t>
  </si>
  <si>
    <t>Алюміній</t>
  </si>
  <si>
    <t>Потреба в матеріалах більша за середню:</t>
  </si>
  <si>
    <t>Перший спосіб</t>
  </si>
  <si>
    <t>Другий спосіб</t>
  </si>
  <si>
    <t>Приклад №1</t>
  </si>
  <si>
    <t>Приклад№2</t>
  </si>
  <si>
    <t>Приклад №3</t>
  </si>
  <si>
    <t>Приклад №4</t>
  </si>
  <si>
    <t>Приклад №5</t>
  </si>
  <si>
    <t>&gt;1000</t>
  </si>
  <si>
    <t>&lt;1500</t>
  </si>
  <si>
    <t>1.</t>
  </si>
  <si>
    <t>Загальна потреба у матеріалі Залізо:</t>
  </si>
  <si>
    <t>2.</t>
  </si>
  <si>
    <t>Середні к-сть матеріалів у 8 місяці:</t>
  </si>
  <si>
    <t>3.</t>
  </si>
  <si>
    <t>Максимальна к-сть виробу IZ.218:</t>
  </si>
  <si>
    <t>4.</t>
  </si>
  <si>
    <t>Потреба у матеріалі Залізо для виробу PP.342 у 8 місяці:</t>
  </si>
  <si>
    <t>5.</t>
  </si>
  <si>
    <t>4.2.</t>
  </si>
  <si>
    <t>Код виробу, що має найбільшу к-сть у 7 місяці:</t>
  </si>
  <si>
    <t>Кількість видів виробів, у котрих к-сть більша за 1000 у 8 місяці:</t>
  </si>
  <si>
    <t>6.</t>
  </si>
  <si>
    <t>Скільки разів використовувався матеріал мідь:</t>
  </si>
  <si>
    <t>Material name</t>
  </si>
  <si>
    <t>Month</t>
  </si>
  <si>
    <t>Copper</t>
  </si>
  <si>
    <t>Iron</t>
  </si>
  <si>
    <t>Gold</t>
  </si>
  <si>
    <t>Silver</t>
  </si>
  <si>
    <t>Nickel</t>
  </si>
  <si>
    <t>Tin</t>
  </si>
  <si>
    <t>Aluminium</t>
  </si>
  <si>
    <t>7 Итог</t>
  </si>
  <si>
    <t>8 Итог</t>
  </si>
  <si>
    <t>Общий итог</t>
  </si>
  <si>
    <t>7 Среднее</t>
  </si>
  <si>
    <t>8 Среднее</t>
  </si>
  <si>
    <t>Общее среднее</t>
  </si>
  <si>
    <t>Названия строк</t>
  </si>
  <si>
    <t>Сумма по полю Кількість виробів</t>
  </si>
  <si>
    <t>Сумма по полю Потреба в матеріалах</t>
  </si>
  <si>
    <t>Названия столбцов</t>
  </si>
  <si>
    <t>Код товару</t>
  </si>
  <si>
    <t>Назва товару</t>
  </si>
  <si>
    <t>Обсяг продажу, кг</t>
  </si>
  <si>
    <t>Ціна за одиницю, грн</t>
  </si>
  <si>
    <t>A123</t>
  </si>
  <si>
    <t>B123</t>
  </si>
  <si>
    <t>C123</t>
  </si>
  <si>
    <t>D123</t>
  </si>
  <si>
    <t>Гречка</t>
  </si>
  <si>
    <t>Цукор</t>
  </si>
  <si>
    <t>Рис</t>
  </si>
  <si>
    <t>Борошно</t>
  </si>
  <si>
    <t>Обсяг продажу товару "А123"</t>
  </si>
  <si>
    <t>Обсяг продажу товару "Рис"</t>
  </si>
  <si>
    <t>2. Визначити номер рядка, в котрому назва товару "Цукор"</t>
  </si>
  <si>
    <t>3.1 Вивести значення, що находиться у другому рядку та третьому стовпчику:</t>
  </si>
  <si>
    <t>3.2 Обсяг продажу товару "Цукор":</t>
  </si>
  <si>
    <t>5.1.</t>
  </si>
  <si>
    <t>5.2.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</si>
</sst>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 applyAlignment="1">
      <alignment vertical="justify"/>
    </xf>
    <xf numFmtId="0" fontId="0" fillId="0" borderId="1" xfId="0" applyFont="1" applyBorder="1"/>
    <xf numFmtId="0" fontId="0" fillId="0" borderId="0" xfId="0" applyBorder="1"/>
    <xf numFmtId="0" fontId="0" fillId="0" borderId="0" xfId="0" applyFont="1" applyBorder="1"/>
    <xf numFmtId="0" fontId="0" fillId="0" borderId="1" xfId="0" applyBorder="1"/>
    <xf numFmtId="0" fontId="0" fillId="0" borderId="1" xfId="0" applyFont="1" applyBorder="1" applyAlignment="1">
      <alignment horizontal="center" vertical="justify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/>
    <xf numFmtId="49" fontId="0" fillId="0" borderId="1" xfId="0" applyNumberFormat="1" applyFont="1" applyBorder="1" applyAlignment="1">
      <alignment vertical="justify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0" fillId="2" borderId="1" xfId="0" applyFill="1" applyBorder="1"/>
    <xf numFmtId="49" fontId="0" fillId="2" borderId="1" xfId="0" applyNumberFormat="1" applyFill="1" applyBorder="1" applyAlignment="1"/>
    <xf numFmtId="0" fontId="0" fillId="2" borderId="1" xfId="0" quotePrefix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" fontId="0" fillId="0" borderId="0" xfId="0" applyNumberFormat="1"/>
    <xf numFmtId="0" fontId="0" fillId="2" borderId="1" xfId="0" applyFill="1" applyBorder="1" applyAlignment="1">
      <alignment wrapText="1"/>
    </xf>
    <xf numFmtId="16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justify"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isoul" refreshedDate="45652.717950115744" createdVersion="7" refreshedVersion="7" minRefreshableVersion="3" recordCount="10" xr:uid="{D13AA6E6-5C9A-482C-9118-91DADFAA21DA}">
  <cacheSource type="worksheet">
    <worksheetSource name="Потреба"/>
  </cacheSource>
  <cacheFields count="6">
    <cacheField name="Місяць" numFmtId="0">
      <sharedItems containsSemiMixedTypes="0" containsString="0" containsNumber="1" containsInteger="1" minValue="7" maxValue="8" count="2">
        <n v="7"/>
        <n v="8"/>
      </sharedItems>
    </cacheField>
    <cacheField name="Код виробу" numFmtId="0">
      <sharedItems count="7">
        <s v="IZ.218"/>
        <s v="PP.342"/>
        <s v="RR.432"/>
        <s v="SS.123"/>
        <s v="KL.543"/>
        <s v="TR.423"/>
        <s v="WQ.432"/>
      </sharedItems>
    </cacheField>
    <cacheField name="Назва матеріалу" numFmtId="0">
      <sharedItems count="7">
        <s v="Мідь"/>
        <s v="Залізо"/>
        <s v="Золото"/>
        <s v="Срібло"/>
        <s v="Нікель"/>
        <s v="Олово"/>
        <s v="Алюміній"/>
      </sharedItems>
    </cacheField>
    <cacheField name="Кількість виробів" numFmtId="0">
      <sharedItems containsSemiMixedTypes="0" containsString="0" containsNumber="1" containsInteger="1" minValue="324" maxValue="1745"/>
    </cacheField>
    <cacheField name="Кількість матеріалу" numFmtId="0">
      <sharedItems containsSemiMixedTypes="0" containsString="0" containsNumber="1" containsInteger="1" minValue="5" maxValue="945"/>
    </cacheField>
    <cacheField name="Потреба в матеріалах" numFmtId="0">
      <sharedItems containsSemiMixedTypes="0" containsString="0" containsNumber="1" containsInteger="1" minValue="2160" maxValue="9119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n v="950"/>
    <n v="127"/>
    <n v="120650"/>
  </r>
  <r>
    <x v="1"/>
    <x v="0"/>
    <x v="0"/>
    <n v="1034"/>
    <n v="127"/>
    <n v="131318"/>
  </r>
  <r>
    <x v="1"/>
    <x v="1"/>
    <x v="1"/>
    <n v="324"/>
    <n v="76"/>
    <n v="24624"/>
  </r>
  <r>
    <x v="0"/>
    <x v="1"/>
    <x v="1"/>
    <n v="745"/>
    <n v="76"/>
    <n v="56620"/>
  </r>
  <r>
    <x v="1"/>
    <x v="2"/>
    <x v="2"/>
    <n v="432"/>
    <n v="5"/>
    <n v="2160"/>
  </r>
  <r>
    <x v="0"/>
    <x v="2"/>
    <x v="2"/>
    <n v="1745"/>
    <n v="5"/>
    <n v="8725"/>
  </r>
  <r>
    <x v="1"/>
    <x v="3"/>
    <x v="3"/>
    <n v="1543"/>
    <n v="45"/>
    <n v="69435"/>
  </r>
  <r>
    <x v="1"/>
    <x v="4"/>
    <x v="4"/>
    <n v="965"/>
    <n v="945"/>
    <n v="911925"/>
  </r>
  <r>
    <x v="1"/>
    <x v="5"/>
    <x v="5"/>
    <n v="1125"/>
    <n v="12"/>
    <n v="13500"/>
  </r>
  <r>
    <x v="1"/>
    <x v="6"/>
    <x v="6"/>
    <n v="453"/>
    <n v="432"/>
    <n v="1956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AD852A-D17B-423C-BC87-3943E36B1700}" name="Сводная таблица2" cacheId="5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I13:L22" firstHeaderRow="1" firstDataRow="2" firstDataCol="1"/>
  <pivotFields count="6">
    <pivotField axis="axisCol" showAll="0">
      <items count="3">
        <item x="0"/>
        <item x="1"/>
        <item t="default"/>
      </items>
    </pivotField>
    <pivotField axis="axisRow" showAll="0">
      <items count="8">
        <item x="0"/>
        <item x="4"/>
        <item x="1"/>
        <item x="2"/>
        <item x="3"/>
        <item x="5"/>
        <item x="6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Сумма по полю Кількість виробів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B68C9F-C435-43D4-A5A9-50E8FAD8E768}" name="Сводная таблица1" cacheId="5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I1:L10" firstHeaderRow="1" firstDataRow="2" firstDataCol="1"/>
  <pivotFields count="6">
    <pivotField axis="axisCol" showAll="0">
      <items count="3">
        <item x="0"/>
        <item x="1"/>
        <item t="default"/>
      </items>
    </pivotField>
    <pivotField showAll="0">
      <items count="8">
        <item x="0"/>
        <item x="4"/>
        <item x="1"/>
        <item x="2"/>
        <item x="3"/>
        <item x="5"/>
        <item x="6"/>
        <item t="default"/>
      </items>
    </pivotField>
    <pivotField axis="axisRow" showAll="0">
      <items count="8">
        <item x="6"/>
        <item x="1"/>
        <item x="2"/>
        <item x="0"/>
        <item x="4"/>
        <item x="5"/>
        <item x="3"/>
        <item t="default"/>
      </items>
    </pivotField>
    <pivotField showAll="0"/>
    <pivotField showAll="0"/>
    <pivotField dataField="1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Сумма по полю Потреба в матеріалах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B2" sqref="B2"/>
    </sheetView>
  </sheetViews>
  <sheetFormatPr defaultRowHeight="15" x14ac:dyDescent="0.25"/>
  <cols>
    <col min="3" max="3" width="11.7109375" customWidth="1"/>
    <col min="5" max="5" width="11.28515625" customWidth="1"/>
    <col min="6" max="6" width="13.28515625" customWidth="1"/>
    <col min="9" max="9" width="12" customWidth="1"/>
  </cols>
  <sheetData>
    <row r="1" spans="1:9" ht="15.75" x14ac:dyDescent="0.25">
      <c r="A1" s="1"/>
      <c r="B1" s="2" t="s">
        <v>0</v>
      </c>
      <c r="C1" s="1"/>
      <c r="D1" s="1"/>
      <c r="E1" s="1"/>
      <c r="F1" s="1"/>
    </row>
    <row r="2" spans="1:9" ht="36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H2" s="3" t="s">
        <v>2</v>
      </c>
      <c r="I2" s="3" t="s">
        <v>3</v>
      </c>
    </row>
    <row r="3" spans="1:9" x14ac:dyDescent="0.25">
      <c r="A3" s="4">
        <v>7</v>
      </c>
      <c r="B3" s="4" t="s">
        <v>7</v>
      </c>
      <c r="C3" s="4" t="str">
        <f t="shared" ref="C3:C12" si="0">VLOOKUP(B3,Матеріали,2,0)</f>
        <v>Мідь</v>
      </c>
      <c r="D3" s="4">
        <v>950</v>
      </c>
      <c r="E3" s="4">
        <v>127</v>
      </c>
      <c r="F3" s="4">
        <f>D3*E3</f>
        <v>120650</v>
      </c>
      <c r="H3" s="4" t="s">
        <v>7</v>
      </c>
      <c r="I3" s="4" t="s">
        <v>8</v>
      </c>
    </row>
    <row r="4" spans="1:9" x14ac:dyDescent="0.25">
      <c r="A4" s="4">
        <v>8</v>
      </c>
      <c r="B4" s="4" t="s">
        <v>7</v>
      </c>
      <c r="C4" s="4" t="str">
        <f t="shared" si="0"/>
        <v>Мідь</v>
      </c>
      <c r="D4" s="4">
        <v>1034</v>
      </c>
      <c r="E4" s="4">
        <v>127</v>
      </c>
      <c r="F4" s="4">
        <f t="shared" ref="F4:F12" si="1">D4*E4</f>
        <v>131318</v>
      </c>
      <c r="H4" s="4" t="s">
        <v>9</v>
      </c>
      <c r="I4" s="4" t="s">
        <v>10</v>
      </c>
    </row>
    <row r="5" spans="1:9" x14ac:dyDescent="0.25">
      <c r="A5" s="4">
        <v>8</v>
      </c>
      <c r="B5" s="4" t="s">
        <v>9</v>
      </c>
      <c r="C5" s="4" t="str">
        <f t="shared" si="0"/>
        <v>Залізо</v>
      </c>
      <c r="D5" s="4">
        <v>324</v>
      </c>
      <c r="E5" s="4">
        <v>76</v>
      </c>
      <c r="F5" s="4">
        <f t="shared" si="1"/>
        <v>24624</v>
      </c>
      <c r="H5" s="4" t="s">
        <v>11</v>
      </c>
      <c r="I5" s="4" t="s">
        <v>12</v>
      </c>
    </row>
    <row r="6" spans="1:9" x14ac:dyDescent="0.25">
      <c r="A6" s="4">
        <v>7</v>
      </c>
      <c r="B6" s="4" t="s">
        <v>9</v>
      </c>
      <c r="C6" s="4" t="str">
        <f t="shared" si="0"/>
        <v>Залізо</v>
      </c>
      <c r="D6" s="4">
        <v>745</v>
      </c>
      <c r="E6" s="4">
        <v>76</v>
      </c>
      <c r="F6" s="4">
        <f t="shared" si="1"/>
        <v>56620</v>
      </c>
      <c r="H6" s="4" t="s">
        <v>13</v>
      </c>
      <c r="I6" s="4" t="s">
        <v>14</v>
      </c>
    </row>
    <row r="7" spans="1:9" x14ac:dyDescent="0.25">
      <c r="A7" s="4">
        <v>8</v>
      </c>
      <c r="B7" s="4" t="s">
        <v>11</v>
      </c>
      <c r="C7" s="4" t="str">
        <f t="shared" si="0"/>
        <v>Золото</v>
      </c>
      <c r="D7" s="4">
        <v>432</v>
      </c>
      <c r="E7" s="4">
        <v>5</v>
      </c>
      <c r="F7" s="4">
        <f t="shared" si="1"/>
        <v>2160</v>
      </c>
      <c r="H7" s="4" t="s">
        <v>15</v>
      </c>
      <c r="I7" s="4" t="s">
        <v>16</v>
      </c>
    </row>
    <row r="8" spans="1:9" x14ac:dyDescent="0.25">
      <c r="A8" s="4">
        <v>7</v>
      </c>
      <c r="B8" s="4" t="s">
        <v>11</v>
      </c>
      <c r="C8" s="4" t="str">
        <f t="shared" si="0"/>
        <v>Золото</v>
      </c>
      <c r="D8" s="4">
        <v>1745</v>
      </c>
      <c r="E8" s="4">
        <v>5</v>
      </c>
      <c r="F8" s="4">
        <f t="shared" si="1"/>
        <v>8725</v>
      </c>
      <c r="H8" s="4" t="s">
        <v>17</v>
      </c>
      <c r="I8" s="4" t="s">
        <v>18</v>
      </c>
    </row>
    <row r="9" spans="1:9" x14ac:dyDescent="0.25">
      <c r="A9" s="4">
        <v>8</v>
      </c>
      <c r="B9" s="4" t="s">
        <v>13</v>
      </c>
      <c r="C9" s="4" t="str">
        <f t="shared" si="0"/>
        <v>Срібло</v>
      </c>
      <c r="D9" s="4">
        <v>1543</v>
      </c>
      <c r="E9" s="4">
        <v>45</v>
      </c>
      <c r="F9" s="4">
        <f t="shared" si="1"/>
        <v>69435</v>
      </c>
      <c r="H9" s="4" t="s">
        <v>19</v>
      </c>
      <c r="I9" s="4" t="s">
        <v>20</v>
      </c>
    </row>
    <row r="10" spans="1:9" x14ac:dyDescent="0.25">
      <c r="A10" s="4">
        <v>8</v>
      </c>
      <c r="B10" s="4" t="s">
        <v>15</v>
      </c>
      <c r="C10" s="4" t="str">
        <f t="shared" si="0"/>
        <v>Нікель</v>
      </c>
      <c r="D10" s="4">
        <v>965</v>
      </c>
      <c r="E10" s="4">
        <v>945</v>
      </c>
      <c r="F10" s="4">
        <f t="shared" si="1"/>
        <v>911925</v>
      </c>
    </row>
    <row r="11" spans="1:9" x14ac:dyDescent="0.25">
      <c r="A11" s="4">
        <v>8</v>
      </c>
      <c r="B11" s="4" t="s">
        <v>17</v>
      </c>
      <c r="C11" s="4" t="str">
        <f t="shared" si="0"/>
        <v>Олово</v>
      </c>
      <c r="D11" s="4">
        <v>1125</v>
      </c>
      <c r="E11" s="4">
        <v>12</v>
      </c>
      <c r="F11" s="4">
        <f t="shared" si="1"/>
        <v>13500</v>
      </c>
    </row>
    <row r="12" spans="1:9" x14ac:dyDescent="0.25">
      <c r="A12" s="4">
        <v>8</v>
      </c>
      <c r="B12" s="4" t="s">
        <v>19</v>
      </c>
      <c r="C12" s="4" t="str">
        <f t="shared" si="0"/>
        <v>Алюміній</v>
      </c>
      <c r="D12" s="4">
        <v>453</v>
      </c>
      <c r="E12" s="4">
        <v>432</v>
      </c>
      <c r="F12" s="4">
        <f t="shared" si="1"/>
        <v>195696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4"/>
  <sheetViews>
    <sheetView topLeftCell="A61" workbookViewId="0">
      <selection activeCell="F7" sqref="F7"/>
    </sheetView>
  </sheetViews>
  <sheetFormatPr defaultRowHeight="15" x14ac:dyDescent="0.25"/>
  <cols>
    <col min="1" max="1" width="18.42578125" customWidth="1"/>
    <col min="2" max="2" width="17" customWidth="1"/>
    <col min="3" max="3" width="15.7109375" customWidth="1"/>
    <col min="5" max="5" width="10.7109375" customWidth="1"/>
    <col min="6" max="6" width="18" customWidth="1"/>
    <col min="8" max="8" width="21.42578125" customWidth="1"/>
  </cols>
  <sheetData>
    <row r="1" spans="1:8" ht="15.75" x14ac:dyDescent="0.25">
      <c r="A1" s="1"/>
      <c r="B1" s="2" t="s">
        <v>0</v>
      </c>
      <c r="C1" s="1"/>
      <c r="D1" s="1"/>
      <c r="E1" s="1"/>
      <c r="F1" s="1"/>
    </row>
    <row r="2" spans="1:8" ht="33.75" customHeight="1" x14ac:dyDescent="0.25">
      <c r="A2" s="9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1" t="s">
        <v>6</v>
      </c>
    </row>
    <row r="3" spans="1:8" x14ac:dyDescent="0.25">
      <c r="A3" s="9">
        <v>7</v>
      </c>
      <c r="B3" s="9" t="s">
        <v>7</v>
      </c>
      <c r="C3" s="9" t="str">
        <f t="shared" ref="C3:C12" si="0">VLOOKUP(B3,Матеріали,2,0)</f>
        <v>Мідь</v>
      </c>
      <c r="D3" s="9">
        <v>950</v>
      </c>
      <c r="E3" s="9">
        <v>127</v>
      </c>
      <c r="F3" s="9">
        <f>D3*E3</f>
        <v>120650</v>
      </c>
    </row>
    <row r="4" spans="1:8" x14ac:dyDescent="0.25">
      <c r="A4" s="9">
        <v>8</v>
      </c>
      <c r="B4" s="9" t="s">
        <v>7</v>
      </c>
      <c r="C4" s="9" t="str">
        <f t="shared" si="0"/>
        <v>Мідь</v>
      </c>
      <c r="D4" s="9">
        <v>1034</v>
      </c>
      <c r="E4" s="9">
        <v>127</v>
      </c>
      <c r="F4" s="9">
        <f t="shared" ref="F4:F12" si="1">D4*E4</f>
        <v>131318</v>
      </c>
    </row>
    <row r="5" spans="1:8" x14ac:dyDescent="0.25">
      <c r="A5" s="9">
        <v>8</v>
      </c>
      <c r="B5" s="9" t="s">
        <v>9</v>
      </c>
      <c r="C5" s="9" t="str">
        <f t="shared" si="0"/>
        <v>Залізо</v>
      </c>
      <c r="D5" s="9">
        <v>324</v>
      </c>
      <c r="E5" s="9">
        <v>76</v>
      </c>
      <c r="F5" s="9">
        <f t="shared" si="1"/>
        <v>24624</v>
      </c>
    </row>
    <row r="6" spans="1:8" x14ac:dyDescent="0.25">
      <c r="A6" s="9">
        <v>7</v>
      </c>
      <c r="B6" s="9" t="s">
        <v>9</v>
      </c>
      <c r="C6" s="9" t="str">
        <f t="shared" si="0"/>
        <v>Залізо</v>
      </c>
      <c r="D6" s="9">
        <v>745</v>
      </c>
      <c r="E6" s="9">
        <v>76</v>
      </c>
      <c r="F6" s="9">
        <f t="shared" si="1"/>
        <v>56620</v>
      </c>
    </row>
    <row r="7" spans="1:8" x14ac:dyDescent="0.25">
      <c r="A7" s="9">
        <v>8</v>
      </c>
      <c r="B7" s="9" t="s">
        <v>11</v>
      </c>
      <c r="C7" s="9" t="str">
        <f t="shared" si="0"/>
        <v>Золото</v>
      </c>
      <c r="D7" s="9">
        <v>432</v>
      </c>
      <c r="E7" s="9">
        <v>5</v>
      </c>
      <c r="F7" s="9">
        <f t="shared" si="1"/>
        <v>2160</v>
      </c>
    </row>
    <row r="8" spans="1:8" x14ac:dyDescent="0.25">
      <c r="A8" s="9">
        <v>7</v>
      </c>
      <c r="B8" s="9" t="s">
        <v>11</v>
      </c>
      <c r="C8" s="9" t="str">
        <f t="shared" si="0"/>
        <v>Золото</v>
      </c>
      <c r="D8" s="9">
        <v>1745</v>
      </c>
      <c r="E8" s="9">
        <v>5</v>
      </c>
      <c r="F8" s="9">
        <f t="shared" si="1"/>
        <v>8725</v>
      </c>
    </row>
    <row r="9" spans="1:8" x14ac:dyDescent="0.25">
      <c r="A9" s="9">
        <v>8</v>
      </c>
      <c r="B9" s="9" t="s">
        <v>13</v>
      </c>
      <c r="C9" s="9" t="str">
        <f t="shared" si="0"/>
        <v>Срібло</v>
      </c>
      <c r="D9" s="9">
        <v>1543</v>
      </c>
      <c r="E9" s="9">
        <v>45</v>
      </c>
      <c r="F9" s="9">
        <f t="shared" si="1"/>
        <v>69435</v>
      </c>
    </row>
    <row r="10" spans="1:8" x14ac:dyDescent="0.25">
      <c r="A10" s="9">
        <v>8</v>
      </c>
      <c r="B10" s="9" t="s">
        <v>15</v>
      </c>
      <c r="C10" s="9" t="str">
        <f t="shared" si="0"/>
        <v>Нікель</v>
      </c>
      <c r="D10" s="9">
        <v>965</v>
      </c>
      <c r="E10" s="9">
        <v>945</v>
      </c>
      <c r="F10" s="9">
        <f t="shared" si="1"/>
        <v>911925</v>
      </c>
    </row>
    <row r="11" spans="1:8" x14ac:dyDescent="0.25">
      <c r="A11" s="9">
        <v>8</v>
      </c>
      <c r="B11" s="9" t="s">
        <v>17</v>
      </c>
      <c r="C11" s="9" t="str">
        <f t="shared" si="0"/>
        <v>Олово</v>
      </c>
      <c r="D11" s="9">
        <v>1125</v>
      </c>
      <c r="E11" s="9">
        <v>12</v>
      </c>
      <c r="F11" s="9">
        <f t="shared" si="1"/>
        <v>13500</v>
      </c>
    </row>
    <row r="12" spans="1:8" x14ac:dyDescent="0.25">
      <c r="A12" s="9">
        <v>8</v>
      </c>
      <c r="B12" s="9" t="s">
        <v>19</v>
      </c>
      <c r="C12" s="9" t="str">
        <f t="shared" si="0"/>
        <v>Алюміній</v>
      </c>
      <c r="D12" s="9">
        <v>453</v>
      </c>
      <c r="E12" s="9">
        <v>432</v>
      </c>
      <c r="F12" s="9">
        <f t="shared" si="1"/>
        <v>195696</v>
      </c>
    </row>
    <row r="13" spans="1:8" x14ac:dyDescent="0.25">
      <c r="A13" s="14" t="s">
        <v>24</v>
      </c>
    </row>
    <row r="14" spans="1:8" x14ac:dyDescent="0.25">
      <c r="A14" s="12" t="s">
        <v>21</v>
      </c>
      <c r="B14" s="12"/>
      <c r="C14" s="12"/>
      <c r="D14" s="12"/>
      <c r="E14" s="12"/>
      <c r="H14" s="16"/>
    </row>
    <row r="15" spans="1:8" x14ac:dyDescent="0.25">
      <c r="B15" s="10"/>
      <c r="C15" s="10"/>
      <c r="D15" s="10"/>
      <c r="E15" s="10"/>
      <c r="H15" s="17" t="b">
        <f>F3&gt;AVERAGEA($F$3:$F$12)</f>
        <v>0</v>
      </c>
    </row>
    <row r="16" spans="1:8" ht="30" x14ac:dyDescent="0.25">
      <c r="A16" s="9" t="s">
        <v>1</v>
      </c>
      <c r="B16" s="8" t="s">
        <v>2</v>
      </c>
      <c r="C16" s="8" t="s">
        <v>3</v>
      </c>
      <c r="D16" s="8" t="s">
        <v>4</v>
      </c>
      <c r="E16" s="8" t="s">
        <v>5</v>
      </c>
      <c r="F16" s="8" t="s">
        <v>6</v>
      </c>
    </row>
    <row r="17" spans="1:6" x14ac:dyDescent="0.25">
      <c r="A17" s="9">
        <v>8</v>
      </c>
      <c r="B17" s="9" t="s">
        <v>15</v>
      </c>
      <c r="C17" s="9" t="s">
        <v>16</v>
      </c>
      <c r="D17" s="9">
        <v>965</v>
      </c>
      <c r="E17" s="9">
        <v>945</v>
      </c>
      <c r="F17" s="9">
        <v>911925</v>
      </c>
    </row>
    <row r="18" spans="1:6" x14ac:dyDescent="0.25">
      <c r="A18" s="9">
        <v>8</v>
      </c>
      <c r="B18" s="9" t="s">
        <v>19</v>
      </c>
      <c r="C18" s="9" t="s">
        <v>20</v>
      </c>
      <c r="D18" s="9">
        <v>453</v>
      </c>
      <c r="E18" s="9">
        <v>432</v>
      </c>
      <c r="F18" s="9">
        <v>195696</v>
      </c>
    </row>
    <row r="19" spans="1:6" x14ac:dyDescent="0.25">
      <c r="A19" s="14" t="s">
        <v>25</v>
      </c>
    </row>
    <row r="20" spans="1:6" x14ac:dyDescent="0.25">
      <c r="A20" s="13" t="s">
        <v>22</v>
      </c>
      <c r="D20" s="13" t="s">
        <v>23</v>
      </c>
    </row>
    <row r="21" spans="1:6" x14ac:dyDescent="0.25">
      <c r="A21" s="15" t="s">
        <v>4</v>
      </c>
      <c r="D21" s="15"/>
    </row>
    <row r="22" spans="1:6" x14ac:dyDescent="0.25">
      <c r="A22" s="15">
        <f>MAX($D$3:$D$12)</f>
        <v>1745</v>
      </c>
      <c r="D22" s="15" t="b">
        <f>D3=MAX($D$3:$D$12)</f>
        <v>0</v>
      </c>
    </row>
    <row r="24" spans="1:6" ht="30" x14ac:dyDescent="0.25">
      <c r="A24" s="9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11" t="s">
        <v>6</v>
      </c>
    </row>
    <row r="25" spans="1:6" x14ac:dyDescent="0.25">
      <c r="A25" s="9">
        <v>7</v>
      </c>
      <c r="B25" s="9" t="s">
        <v>11</v>
      </c>
      <c r="C25" s="9" t="s">
        <v>12</v>
      </c>
      <c r="D25" s="9">
        <v>1745</v>
      </c>
      <c r="E25" s="9">
        <v>5</v>
      </c>
      <c r="F25" s="9">
        <v>8725</v>
      </c>
    </row>
    <row r="27" spans="1:6" ht="30" x14ac:dyDescent="0.25">
      <c r="A27" s="9" t="s">
        <v>1</v>
      </c>
      <c r="B27" s="3" t="s">
        <v>2</v>
      </c>
      <c r="C27" s="3" t="s">
        <v>3</v>
      </c>
      <c r="D27" s="3" t="s">
        <v>4</v>
      </c>
      <c r="E27" s="3" t="s">
        <v>5</v>
      </c>
      <c r="F27" s="11" t="s">
        <v>6</v>
      </c>
    </row>
    <row r="28" spans="1:6" x14ac:dyDescent="0.25">
      <c r="A28" s="9">
        <v>7</v>
      </c>
      <c r="B28" s="9" t="s">
        <v>11</v>
      </c>
      <c r="C28" s="9" t="s">
        <v>12</v>
      </c>
      <c r="D28" s="9">
        <v>1745</v>
      </c>
      <c r="E28" s="9">
        <v>5</v>
      </c>
      <c r="F28" s="9">
        <v>8725</v>
      </c>
    </row>
    <row r="30" spans="1:6" x14ac:dyDescent="0.25">
      <c r="A30" s="14" t="s">
        <v>26</v>
      </c>
    </row>
    <row r="31" spans="1:6" x14ac:dyDescent="0.25">
      <c r="A31" s="13" t="s">
        <v>22</v>
      </c>
      <c r="F31" t="s">
        <v>23</v>
      </c>
    </row>
    <row r="32" spans="1:6" x14ac:dyDescent="0.25">
      <c r="A32" s="15" t="s">
        <v>1</v>
      </c>
      <c r="B32" s="15" t="s">
        <v>2</v>
      </c>
      <c r="C32" s="15" t="s">
        <v>3</v>
      </c>
      <c r="F32" s="15"/>
    </row>
    <row r="33" spans="1:6" x14ac:dyDescent="0.25">
      <c r="A33" s="15">
        <v>8</v>
      </c>
      <c r="B33" s="15" t="s">
        <v>11</v>
      </c>
      <c r="C33" s="15" t="s">
        <v>12</v>
      </c>
      <c r="F33" s="15" t="b">
        <f>AND(A3=8, B3 = "RR.432", C3 = "Золото")</f>
        <v>0</v>
      </c>
    </row>
    <row r="35" spans="1:6" ht="30" x14ac:dyDescent="0.25">
      <c r="A35" s="9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11" t="s">
        <v>6</v>
      </c>
    </row>
    <row r="36" spans="1:6" x14ac:dyDescent="0.25">
      <c r="A36" s="9">
        <v>8</v>
      </c>
      <c r="B36" s="9" t="s">
        <v>11</v>
      </c>
      <c r="C36" s="9" t="s">
        <v>12</v>
      </c>
      <c r="D36" s="9">
        <v>432</v>
      </c>
      <c r="E36" s="9">
        <v>5</v>
      </c>
      <c r="F36" s="9">
        <v>2160</v>
      </c>
    </row>
    <row r="38" spans="1:6" ht="30" x14ac:dyDescent="0.25">
      <c r="A38" s="9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11" t="s">
        <v>6</v>
      </c>
    </row>
    <row r="39" spans="1:6" x14ac:dyDescent="0.25">
      <c r="A39" s="9">
        <v>8</v>
      </c>
      <c r="B39" s="9" t="s">
        <v>11</v>
      </c>
      <c r="C39" s="9" t="s">
        <v>12</v>
      </c>
      <c r="D39" s="9">
        <v>432</v>
      </c>
      <c r="E39" s="9">
        <v>5</v>
      </c>
      <c r="F39" s="9">
        <v>2160</v>
      </c>
    </row>
    <row r="42" spans="1:6" x14ac:dyDescent="0.25">
      <c r="A42" s="14" t="s">
        <v>27</v>
      </c>
    </row>
    <row r="43" spans="1:6" x14ac:dyDescent="0.25">
      <c r="A43" s="13" t="s">
        <v>22</v>
      </c>
      <c r="D43" s="13" t="s">
        <v>23</v>
      </c>
    </row>
    <row r="44" spans="1:6" x14ac:dyDescent="0.25">
      <c r="A44" s="15" t="s">
        <v>3</v>
      </c>
      <c r="D44" s="15"/>
    </row>
    <row r="45" spans="1:6" x14ac:dyDescent="0.25">
      <c r="A45" s="15" t="s">
        <v>8</v>
      </c>
      <c r="D45" s="15" t="b">
        <f>OR(C3 = "Мідь", C3 = "Срібло")</f>
        <v>1</v>
      </c>
    </row>
    <row r="46" spans="1:6" x14ac:dyDescent="0.25">
      <c r="A46" s="15" t="s">
        <v>14</v>
      </c>
    </row>
    <row r="48" spans="1:6" ht="30" x14ac:dyDescent="0.25">
      <c r="A48" s="9" t="s">
        <v>1</v>
      </c>
      <c r="B48" s="3" t="s">
        <v>2</v>
      </c>
      <c r="C48" s="3" t="s">
        <v>3</v>
      </c>
      <c r="D48" s="3" t="s">
        <v>4</v>
      </c>
      <c r="E48" s="3" t="s">
        <v>5</v>
      </c>
      <c r="F48" s="11" t="s">
        <v>6</v>
      </c>
    </row>
    <row r="49" spans="1:6" x14ac:dyDescent="0.25">
      <c r="A49" s="9">
        <v>7</v>
      </c>
      <c r="B49" s="9" t="s">
        <v>7</v>
      </c>
      <c r="C49" s="9" t="s">
        <v>8</v>
      </c>
      <c r="D49" s="9">
        <v>950</v>
      </c>
      <c r="E49" s="9">
        <v>127</v>
      </c>
      <c r="F49" s="9">
        <v>120650</v>
      </c>
    </row>
    <row r="50" spans="1:6" x14ac:dyDescent="0.25">
      <c r="A50" s="9">
        <v>8</v>
      </c>
      <c r="B50" s="9" t="s">
        <v>7</v>
      </c>
      <c r="C50" s="9" t="s">
        <v>8</v>
      </c>
      <c r="D50" s="9">
        <v>1034</v>
      </c>
      <c r="E50" s="9">
        <v>127</v>
      </c>
      <c r="F50" s="9">
        <v>131318</v>
      </c>
    </row>
    <row r="51" spans="1:6" x14ac:dyDescent="0.25">
      <c r="A51" s="9">
        <v>8</v>
      </c>
      <c r="B51" s="9" t="s">
        <v>13</v>
      </c>
      <c r="C51" s="9" t="s">
        <v>14</v>
      </c>
      <c r="D51" s="9">
        <v>1543</v>
      </c>
      <c r="E51" s="9">
        <v>45</v>
      </c>
      <c r="F51" s="9">
        <v>69435</v>
      </c>
    </row>
    <row r="53" spans="1:6" ht="30" x14ac:dyDescent="0.25">
      <c r="A53" s="9" t="s">
        <v>1</v>
      </c>
      <c r="B53" s="3" t="s">
        <v>2</v>
      </c>
      <c r="C53" s="3" t="s">
        <v>3</v>
      </c>
      <c r="D53" s="3" t="s">
        <v>4</v>
      </c>
      <c r="E53" s="3" t="s">
        <v>5</v>
      </c>
      <c r="F53" s="11" t="s">
        <v>6</v>
      </c>
    </row>
    <row r="54" spans="1:6" x14ac:dyDescent="0.25">
      <c r="A54" s="9">
        <v>7</v>
      </c>
      <c r="B54" s="9" t="s">
        <v>7</v>
      </c>
      <c r="C54" s="9" t="s">
        <v>8</v>
      </c>
      <c r="D54" s="9">
        <v>950</v>
      </c>
      <c r="E54" s="9">
        <v>127</v>
      </c>
      <c r="F54" s="9">
        <v>120650</v>
      </c>
    </row>
    <row r="55" spans="1:6" x14ac:dyDescent="0.25">
      <c r="A55" s="9">
        <v>8</v>
      </c>
      <c r="B55" s="9" t="s">
        <v>7</v>
      </c>
      <c r="C55" s="9" t="s">
        <v>8</v>
      </c>
      <c r="D55" s="9">
        <v>1034</v>
      </c>
      <c r="E55" s="9">
        <v>127</v>
      </c>
      <c r="F55" s="9">
        <v>131318</v>
      </c>
    </row>
    <row r="56" spans="1:6" x14ac:dyDescent="0.25">
      <c r="A56" s="9">
        <v>8</v>
      </c>
      <c r="B56" s="9" t="s">
        <v>13</v>
      </c>
      <c r="C56" s="9" t="s">
        <v>14</v>
      </c>
      <c r="D56" s="9">
        <v>1543</v>
      </c>
      <c r="E56" s="9">
        <v>45</v>
      </c>
      <c r="F56" s="9">
        <v>69435</v>
      </c>
    </row>
    <row r="60" spans="1:6" ht="15.75" x14ac:dyDescent="0.25">
      <c r="A60" s="1"/>
      <c r="B60" s="2" t="s">
        <v>0</v>
      </c>
      <c r="C60" s="1"/>
      <c r="D60" s="1"/>
      <c r="E60" s="1"/>
      <c r="F60" s="1"/>
    </row>
    <row r="61" spans="1:6" ht="30" x14ac:dyDescent="0.25">
      <c r="A61" s="9" t="s">
        <v>1</v>
      </c>
      <c r="B61" s="3" t="s">
        <v>2</v>
      </c>
      <c r="C61" s="3" t="s">
        <v>3</v>
      </c>
      <c r="D61" s="3" t="s">
        <v>4</v>
      </c>
      <c r="E61" s="3" t="s">
        <v>5</v>
      </c>
      <c r="F61" s="11" t="s">
        <v>6</v>
      </c>
    </row>
    <row r="62" spans="1:6" x14ac:dyDescent="0.25">
      <c r="A62" s="9">
        <v>7</v>
      </c>
      <c r="B62" s="9" t="s">
        <v>7</v>
      </c>
      <c r="C62" s="9" t="str">
        <f t="shared" ref="C62:C71" si="2">VLOOKUP(B62,Матеріали,2,0)</f>
        <v>Мідь</v>
      </c>
      <c r="D62" s="9">
        <v>950</v>
      </c>
      <c r="E62" s="9">
        <v>127</v>
      </c>
      <c r="F62" s="9">
        <f>D62*E62</f>
        <v>120650</v>
      </c>
    </row>
    <row r="63" spans="1:6" x14ac:dyDescent="0.25">
      <c r="A63" s="9">
        <v>8</v>
      </c>
      <c r="B63" s="9" t="s">
        <v>7</v>
      </c>
      <c r="C63" s="9" t="str">
        <f t="shared" si="2"/>
        <v>Мідь</v>
      </c>
      <c r="D63" s="9">
        <v>1034</v>
      </c>
      <c r="E63" s="9">
        <v>127</v>
      </c>
      <c r="F63" s="9">
        <f t="shared" ref="F63:F71" si="3">D63*E63</f>
        <v>131318</v>
      </c>
    </row>
    <row r="64" spans="1:6" x14ac:dyDescent="0.25">
      <c r="A64" s="9">
        <v>8</v>
      </c>
      <c r="B64" s="9" t="s">
        <v>9</v>
      </c>
      <c r="C64" s="9" t="str">
        <f t="shared" si="2"/>
        <v>Залізо</v>
      </c>
      <c r="D64" s="9">
        <v>324</v>
      </c>
      <c r="E64" s="9">
        <v>76</v>
      </c>
      <c r="F64" s="9">
        <f t="shared" si="3"/>
        <v>24624</v>
      </c>
    </row>
    <row r="65" spans="1:6" x14ac:dyDescent="0.25">
      <c r="A65" s="9">
        <v>7</v>
      </c>
      <c r="B65" s="9" t="s">
        <v>9</v>
      </c>
      <c r="C65" s="9" t="str">
        <f t="shared" si="2"/>
        <v>Залізо</v>
      </c>
      <c r="D65" s="9">
        <v>745</v>
      </c>
      <c r="E65" s="9">
        <v>76</v>
      </c>
      <c r="F65" s="9">
        <f t="shared" si="3"/>
        <v>56620</v>
      </c>
    </row>
    <row r="66" spans="1:6" x14ac:dyDescent="0.25">
      <c r="A66" s="9">
        <v>8</v>
      </c>
      <c r="B66" s="9" t="s">
        <v>11</v>
      </c>
      <c r="C66" s="9" t="str">
        <f t="shared" si="2"/>
        <v>Золото</v>
      </c>
      <c r="D66" s="9">
        <v>432</v>
      </c>
      <c r="E66" s="9">
        <v>5</v>
      </c>
      <c r="F66" s="9">
        <f t="shared" si="3"/>
        <v>2160</v>
      </c>
    </row>
    <row r="67" spans="1:6" x14ac:dyDescent="0.25">
      <c r="A67" s="9">
        <v>7</v>
      </c>
      <c r="B67" s="9" t="s">
        <v>11</v>
      </c>
      <c r="C67" s="9" t="str">
        <f t="shared" si="2"/>
        <v>Золото</v>
      </c>
      <c r="D67" s="9">
        <v>1745</v>
      </c>
      <c r="E67" s="9">
        <v>5</v>
      </c>
      <c r="F67" s="9">
        <f t="shared" si="3"/>
        <v>8725</v>
      </c>
    </row>
    <row r="68" spans="1:6" x14ac:dyDescent="0.25">
      <c r="A68" s="9">
        <v>8</v>
      </c>
      <c r="B68" s="9" t="s">
        <v>13</v>
      </c>
      <c r="C68" s="9" t="str">
        <f t="shared" si="2"/>
        <v>Срібло</v>
      </c>
      <c r="D68" s="9">
        <v>1543</v>
      </c>
      <c r="E68" s="9">
        <v>45</v>
      </c>
      <c r="F68" s="9">
        <f t="shared" si="3"/>
        <v>69435</v>
      </c>
    </row>
    <row r="69" spans="1:6" x14ac:dyDescent="0.25">
      <c r="A69" s="9">
        <v>8</v>
      </c>
      <c r="B69" s="9" t="s">
        <v>15</v>
      </c>
      <c r="C69" s="9" t="str">
        <f t="shared" si="2"/>
        <v>Нікель</v>
      </c>
      <c r="D69" s="9">
        <v>965</v>
      </c>
      <c r="E69" s="9">
        <v>945</v>
      </c>
      <c r="F69" s="9">
        <f t="shared" si="3"/>
        <v>911925</v>
      </c>
    </row>
    <row r="70" spans="1:6" x14ac:dyDescent="0.25">
      <c r="A70" s="9">
        <v>8</v>
      </c>
      <c r="B70" s="9" t="s">
        <v>17</v>
      </c>
      <c r="C70" s="9" t="str">
        <f t="shared" si="2"/>
        <v>Олово</v>
      </c>
      <c r="D70" s="9">
        <v>1125</v>
      </c>
      <c r="E70" s="9">
        <v>12</v>
      </c>
      <c r="F70" s="9">
        <f t="shared" si="3"/>
        <v>13500</v>
      </c>
    </row>
    <row r="71" spans="1:6" x14ac:dyDescent="0.25">
      <c r="A71" s="9">
        <v>8</v>
      </c>
      <c r="B71" s="9" t="s">
        <v>19</v>
      </c>
      <c r="C71" s="9" t="str">
        <f t="shared" si="2"/>
        <v>Алюміній</v>
      </c>
      <c r="D71" s="9">
        <v>453</v>
      </c>
      <c r="E71" s="9">
        <v>432</v>
      </c>
      <c r="F71" s="9">
        <f t="shared" si="3"/>
        <v>195696</v>
      </c>
    </row>
    <row r="73" spans="1:6" x14ac:dyDescent="0.25">
      <c r="A73" s="14" t="s">
        <v>28</v>
      </c>
    </row>
    <row r="74" spans="1:6" x14ac:dyDescent="0.25">
      <c r="A74" s="13" t="s">
        <v>22</v>
      </c>
      <c r="D74" s="13" t="s">
        <v>23</v>
      </c>
    </row>
    <row r="75" spans="1:6" x14ac:dyDescent="0.25">
      <c r="A75" s="15" t="s">
        <v>4</v>
      </c>
      <c r="B75" s="15" t="s">
        <v>4</v>
      </c>
      <c r="D75" s="15"/>
    </row>
    <row r="76" spans="1:6" x14ac:dyDescent="0.25">
      <c r="A76" s="15" t="s">
        <v>29</v>
      </c>
      <c r="B76" s="15" t="s">
        <v>30</v>
      </c>
      <c r="D76" s="15" t="b">
        <f>AND(D3&gt;1000, D3&lt;1500)</f>
        <v>0</v>
      </c>
    </row>
    <row r="78" spans="1:6" ht="30" x14ac:dyDescent="0.25">
      <c r="A78" s="9" t="s">
        <v>1</v>
      </c>
      <c r="B78" s="3" t="s">
        <v>2</v>
      </c>
      <c r="C78" s="3" t="s">
        <v>3</v>
      </c>
      <c r="D78" s="3" t="s">
        <v>4</v>
      </c>
      <c r="E78" s="3" t="s">
        <v>5</v>
      </c>
      <c r="F78" s="11" t="s">
        <v>6</v>
      </c>
    </row>
    <row r="79" spans="1:6" x14ac:dyDescent="0.25">
      <c r="A79" s="9">
        <v>8</v>
      </c>
      <c r="B79" s="9" t="s">
        <v>7</v>
      </c>
      <c r="C79" s="9" t="s">
        <v>8</v>
      </c>
      <c r="D79" s="9">
        <v>1034</v>
      </c>
      <c r="E79" s="9">
        <v>127</v>
      </c>
      <c r="F79" s="9">
        <v>131318</v>
      </c>
    </row>
    <row r="80" spans="1:6" x14ac:dyDescent="0.25">
      <c r="A80" s="9">
        <v>8</v>
      </c>
      <c r="B80" s="9" t="s">
        <v>17</v>
      </c>
      <c r="C80" s="9" t="s">
        <v>18</v>
      </c>
      <c r="D80" s="9">
        <v>1125</v>
      </c>
      <c r="E80" s="9">
        <v>12</v>
      </c>
      <c r="F80" s="9">
        <v>13500</v>
      </c>
    </row>
    <row r="82" spans="1:6" ht="30" x14ac:dyDescent="0.25">
      <c r="A82" s="9" t="s">
        <v>1</v>
      </c>
      <c r="B82" s="3" t="s">
        <v>2</v>
      </c>
      <c r="C82" s="3" t="s">
        <v>3</v>
      </c>
      <c r="D82" s="3" t="s">
        <v>4</v>
      </c>
      <c r="E82" s="3" t="s">
        <v>5</v>
      </c>
      <c r="F82" s="11" t="s">
        <v>6</v>
      </c>
    </row>
    <row r="83" spans="1:6" x14ac:dyDescent="0.25">
      <c r="A83" s="9">
        <v>8</v>
      </c>
      <c r="B83" s="9" t="s">
        <v>7</v>
      </c>
      <c r="C83" s="9" t="s">
        <v>8</v>
      </c>
      <c r="D83" s="9">
        <v>1034</v>
      </c>
      <c r="E83" s="9">
        <v>127</v>
      </c>
      <c r="F83" s="9">
        <v>131318</v>
      </c>
    </row>
    <row r="84" spans="1:6" x14ac:dyDescent="0.25">
      <c r="A84" s="9">
        <v>8</v>
      </c>
      <c r="B84" s="9" t="s">
        <v>17</v>
      </c>
      <c r="C84" s="9" t="s">
        <v>18</v>
      </c>
      <c r="D84" s="9">
        <v>1125</v>
      </c>
      <c r="E84" s="9">
        <v>12</v>
      </c>
      <c r="F84" s="9">
        <v>13500</v>
      </c>
    </row>
  </sheetData>
  <mergeCells count="1">
    <mergeCell ref="A14:E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34B6-E281-497E-BC3E-4EA0FB92C766}">
  <dimension ref="A1:G25"/>
  <sheetViews>
    <sheetView tabSelected="1" workbookViewId="0">
      <selection activeCell="J11" sqref="J11"/>
    </sheetView>
  </sheetViews>
  <sheetFormatPr defaultRowHeight="15" x14ac:dyDescent="0.25"/>
  <cols>
    <col min="1" max="1" width="14.7109375" customWidth="1"/>
    <col min="2" max="3" width="13" customWidth="1"/>
    <col min="4" max="4" width="14.140625" customWidth="1"/>
    <col min="7" max="7" width="11.7109375" customWidth="1"/>
  </cols>
  <sheetData>
    <row r="1" spans="1:7" s="21" customFormat="1" ht="30" x14ac:dyDescent="0.25">
      <c r="A1" s="38" t="s">
        <v>64</v>
      </c>
      <c r="B1" s="38" t="s">
        <v>65</v>
      </c>
      <c r="C1" s="38" t="s">
        <v>66</v>
      </c>
      <c r="D1" s="38" t="s">
        <v>67</v>
      </c>
      <c r="F1" s="38" t="s">
        <v>64</v>
      </c>
      <c r="G1" s="38" t="s">
        <v>65</v>
      </c>
    </row>
    <row r="2" spans="1:7" x14ac:dyDescent="0.25">
      <c r="A2" s="39" t="s">
        <v>68</v>
      </c>
      <c r="B2" s="39" t="str">
        <f>VLOOKUP(A2,$F$1:$G$5,2,0)</f>
        <v>Борошно</v>
      </c>
      <c r="C2" s="39">
        <v>675</v>
      </c>
      <c r="D2" s="39">
        <v>1.9</v>
      </c>
      <c r="F2" s="39" t="s">
        <v>71</v>
      </c>
      <c r="G2" s="39" t="s">
        <v>72</v>
      </c>
    </row>
    <row r="3" spans="1:7" x14ac:dyDescent="0.25">
      <c r="A3" s="39" t="s">
        <v>69</v>
      </c>
      <c r="B3" s="39" t="str">
        <f t="shared" ref="B3:B4" si="0">VLOOKUP(A3,$F$1:$G$5,2,0)</f>
        <v>Цукор</v>
      </c>
      <c r="C3" s="39">
        <v>9343</v>
      </c>
      <c r="D3" s="39">
        <v>2.5</v>
      </c>
      <c r="F3" s="39" t="s">
        <v>69</v>
      </c>
      <c r="G3" s="39" t="s">
        <v>73</v>
      </c>
    </row>
    <row r="4" spans="1:7" x14ac:dyDescent="0.25">
      <c r="A4" s="39" t="s">
        <v>70</v>
      </c>
      <c r="B4" s="39" t="str">
        <f t="shared" si="0"/>
        <v>Рис</v>
      </c>
      <c r="C4" s="39">
        <v>875</v>
      </c>
      <c r="D4" s="39">
        <v>3.1</v>
      </c>
      <c r="F4" s="39" t="s">
        <v>70</v>
      </c>
      <c r="G4" s="39" t="s">
        <v>74</v>
      </c>
    </row>
    <row r="5" spans="1:7" x14ac:dyDescent="0.25">
      <c r="F5" s="39" t="s">
        <v>68</v>
      </c>
      <c r="G5" s="39" t="s">
        <v>75</v>
      </c>
    </row>
    <row r="7" spans="1:7" s="21" customFormat="1" ht="30" x14ac:dyDescent="0.25">
      <c r="A7" s="40" t="s">
        <v>76</v>
      </c>
      <c r="B7" s="22">
        <f>VLOOKUP("A123",$A$1:$D$4,3,0)</f>
        <v>675</v>
      </c>
    </row>
    <row r="9" spans="1:7" x14ac:dyDescent="0.25">
      <c r="A9" t="s">
        <v>77</v>
      </c>
      <c r="C9">
        <f>VLOOKUP("Рис",$B$1:$D$4,2,0)</f>
        <v>875</v>
      </c>
    </row>
    <row r="11" spans="1:7" x14ac:dyDescent="0.25">
      <c r="A11" t="s">
        <v>78</v>
      </c>
      <c r="E11">
        <f>MATCH("Цукор",B1:B4,0)</f>
        <v>3</v>
      </c>
    </row>
    <row r="13" spans="1:7" x14ac:dyDescent="0.25">
      <c r="A13" t="s">
        <v>79</v>
      </c>
      <c r="G13">
        <f>INDEX(A1:D4,2,3)</f>
        <v>675</v>
      </c>
    </row>
    <row r="15" spans="1:7" x14ac:dyDescent="0.25">
      <c r="A15" t="s">
        <v>80</v>
      </c>
      <c r="D15">
        <f>INDEX(C2:C4,MATCH("Цукор",B2:B4,0))</f>
        <v>9343</v>
      </c>
    </row>
    <row r="18" spans="1:2" x14ac:dyDescent="0.25">
      <c r="A18" t="s">
        <v>37</v>
      </c>
      <c r="B18" s="15" t="str">
        <f>ADDRESS(2,3,1)</f>
        <v>$C$2</v>
      </c>
    </row>
    <row r="19" spans="1:2" x14ac:dyDescent="0.25">
      <c r="B19" s="15" t="str">
        <f>ADDRESS(2,3,2)</f>
        <v>C$2</v>
      </c>
    </row>
    <row r="20" spans="1:2" x14ac:dyDescent="0.25">
      <c r="B20" s="15" t="str">
        <f>ADDRESS(2,3,3)</f>
        <v>$C2</v>
      </c>
    </row>
    <row r="21" spans="1:2" x14ac:dyDescent="0.25">
      <c r="B21" s="15" t="str">
        <f>ADDRESS(2,3,4)</f>
        <v>C2</v>
      </c>
    </row>
    <row r="24" spans="1:2" x14ac:dyDescent="0.25">
      <c r="A24" s="24" t="s">
        <v>81</v>
      </c>
      <c r="B24" cm="1">
        <f t="array" aca="1" ref="B24" ca="1">INDIRECT("D2")</f>
        <v>1.9</v>
      </c>
    </row>
    <row r="25" spans="1:2" x14ac:dyDescent="0.25">
      <c r="A25" s="24" t="s">
        <v>82</v>
      </c>
      <c r="B25" cm="1">
        <f t="array" aca="1" ref="B25" ca="1">INDIRECT(ADDRESS(MATCH("Цукор",B2:B4,0)+1,3))</f>
        <v>9343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5"/>
  <sheetViews>
    <sheetView workbookViewId="0">
      <selection activeCell="W27" sqref="W27"/>
    </sheetView>
  </sheetViews>
  <sheetFormatPr defaultRowHeight="15" x14ac:dyDescent="0.25"/>
  <cols>
    <col min="2" max="2" width="17.140625" customWidth="1"/>
    <col min="3" max="3" width="10.85546875" customWidth="1"/>
    <col min="4" max="4" width="10.42578125" customWidth="1"/>
    <col min="5" max="5" width="11" customWidth="1"/>
    <col min="6" max="6" width="12" customWidth="1"/>
    <col min="9" max="9" width="11.85546875" customWidth="1"/>
    <col min="10" max="10" width="10" customWidth="1"/>
    <col min="14" max="14" width="9.5703125" customWidth="1"/>
    <col min="18" max="18" width="14.85546875" customWidth="1"/>
  </cols>
  <sheetData>
    <row r="1" spans="1:20" ht="15.75" x14ac:dyDescent="0.25">
      <c r="A1" s="1"/>
      <c r="B1" s="2" t="s">
        <v>0</v>
      </c>
      <c r="C1" s="1"/>
      <c r="D1" s="1"/>
      <c r="E1" s="1"/>
      <c r="F1" s="1"/>
    </row>
    <row r="2" spans="1:20" s="21" customFormat="1" ht="33" customHeight="1" x14ac:dyDescent="0.25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H2" s="30"/>
      <c r="I2" s="30"/>
    </row>
    <row r="3" spans="1:20" x14ac:dyDescent="0.25">
      <c r="A3" s="9">
        <v>7</v>
      </c>
      <c r="B3" s="9" t="s">
        <v>7</v>
      </c>
      <c r="C3" s="9" t="str">
        <f t="shared" ref="C3:C12" si="0">VLOOKUP(B3,Матеріали,2,0)</f>
        <v>Мідь</v>
      </c>
      <c r="D3" s="9">
        <v>950</v>
      </c>
      <c r="E3" s="9">
        <v>127</v>
      </c>
      <c r="F3" s="9">
        <f>D3*E3</f>
        <v>120650</v>
      </c>
      <c r="H3" s="6"/>
      <c r="I3" s="6"/>
    </row>
    <row r="4" spans="1:20" x14ac:dyDescent="0.25">
      <c r="A4" s="9">
        <v>8</v>
      </c>
      <c r="B4" s="9" t="s">
        <v>7</v>
      </c>
      <c r="C4" s="9" t="str">
        <f t="shared" si="0"/>
        <v>Мідь</v>
      </c>
      <c r="D4" s="9">
        <v>1034</v>
      </c>
      <c r="E4" s="9">
        <v>127</v>
      </c>
      <c r="F4" s="9">
        <f t="shared" ref="F4:F12" si="1">D4*E4</f>
        <v>131318</v>
      </c>
      <c r="H4" s="6"/>
      <c r="I4" s="6"/>
    </row>
    <row r="5" spans="1:20" x14ac:dyDescent="0.25">
      <c r="A5" s="9">
        <v>8</v>
      </c>
      <c r="B5" s="9" t="s">
        <v>9</v>
      </c>
      <c r="C5" s="9" t="str">
        <f t="shared" si="0"/>
        <v>Залізо</v>
      </c>
      <c r="D5" s="9">
        <v>324</v>
      </c>
      <c r="E5" s="9">
        <v>76</v>
      </c>
      <c r="F5" s="9">
        <f t="shared" si="1"/>
        <v>24624</v>
      </c>
      <c r="H5" s="6"/>
      <c r="I5" s="6"/>
    </row>
    <row r="6" spans="1:20" x14ac:dyDescent="0.25">
      <c r="A6" s="9">
        <v>7</v>
      </c>
      <c r="B6" s="9" t="s">
        <v>9</v>
      </c>
      <c r="C6" s="9" t="str">
        <f t="shared" si="0"/>
        <v>Залізо</v>
      </c>
      <c r="D6" s="9">
        <v>745</v>
      </c>
      <c r="E6" s="9">
        <v>76</v>
      </c>
      <c r="F6" s="9">
        <f t="shared" si="1"/>
        <v>56620</v>
      </c>
      <c r="H6" s="6"/>
      <c r="I6" s="6"/>
    </row>
    <row r="7" spans="1:20" x14ac:dyDescent="0.25">
      <c r="A7" s="9">
        <v>8</v>
      </c>
      <c r="B7" s="9" t="s">
        <v>11</v>
      </c>
      <c r="C7" s="9" t="str">
        <f t="shared" si="0"/>
        <v>Золото</v>
      </c>
      <c r="D7" s="9">
        <v>432</v>
      </c>
      <c r="E7" s="9">
        <v>5</v>
      </c>
      <c r="F7" s="9">
        <f t="shared" si="1"/>
        <v>2160</v>
      </c>
      <c r="H7" s="6"/>
      <c r="I7" s="6"/>
    </row>
    <row r="8" spans="1:20" x14ac:dyDescent="0.25">
      <c r="A8" s="9">
        <v>7</v>
      </c>
      <c r="B8" s="9" t="s">
        <v>11</v>
      </c>
      <c r="C8" s="9" t="str">
        <f t="shared" si="0"/>
        <v>Золото</v>
      </c>
      <c r="D8" s="9">
        <v>1745</v>
      </c>
      <c r="E8" s="9">
        <v>5</v>
      </c>
      <c r="F8" s="9">
        <f t="shared" si="1"/>
        <v>8725</v>
      </c>
      <c r="H8" s="6"/>
      <c r="I8" s="6"/>
    </row>
    <row r="9" spans="1:20" x14ac:dyDescent="0.25">
      <c r="A9" s="9">
        <v>8</v>
      </c>
      <c r="B9" s="9" t="s">
        <v>13</v>
      </c>
      <c r="C9" s="9" t="str">
        <f t="shared" si="0"/>
        <v>Срібло</v>
      </c>
      <c r="D9" s="9">
        <v>1543</v>
      </c>
      <c r="E9" s="9">
        <v>45</v>
      </c>
      <c r="F9" s="9">
        <f t="shared" si="1"/>
        <v>69435</v>
      </c>
      <c r="H9" s="6"/>
      <c r="I9" s="6"/>
      <c r="R9" s="7" t="s">
        <v>45</v>
      </c>
      <c r="T9" s="7" t="s">
        <v>46</v>
      </c>
    </row>
    <row r="10" spans="1:20" x14ac:dyDescent="0.25">
      <c r="A10" s="9">
        <v>8</v>
      </c>
      <c r="B10" s="9" t="s">
        <v>15</v>
      </c>
      <c r="C10" s="9" t="str">
        <f t="shared" si="0"/>
        <v>Нікель</v>
      </c>
      <c r="D10" s="9">
        <v>965</v>
      </c>
      <c r="E10" s="9">
        <v>945</v>
      </c>
      <c r="F10" s="9">
        <f t="shared" si="1"/>
        <v>911925</v>
      </c>
      <c r="R10" s="7" t="s">
        <v>47</v>
      </c>
      <c r="T10" s="7">
        <v>1</v>
      </c>
    </row>
    <row r="11" spans="1:20" x14ac:dyDescent="0.25">
      <c r="A11" s="9">
        <v>8</v>
      </c>
      <c r="B11" s="9" t="s">
        <v>17</v>
      </c>
      <c r="C11" s="9" t="str">
        <f t="shared" si="0"/>
        <v>Олово</v>
      </c>
      <c r="D11" s="9">
        <v>1125</v>
      </c>
      <c r="E11" s="9">
        <v>12</v>
      </c>
      <c r="F11" s="9">
        <f t="shared" si="1"/>
        <v>13500</v>
      </c>
      <c r="R11" s="7" t="s">
        <v>48</v>
      </c>
      <c r="T11" s="7">
        <v>2</v>
      </c>
    </row>
    <row r="12" spans="1:20" x14ac:dyDescent="0.25">
      <c r="A12" s="9">
        <v>8</v>
      </c>
      <c r="B12" s="9" t="s">
        <v>19</v>
      </c>
      <c r="C12" s="9" t="str">
        <f t="shared" si="0"/>
        <v>Алюміній</v>
      </c>
      <c r="D12" s="9">
        <v>453</v>
      </c>
      <c r="E12" s="9">
        <v>432</v>
      </c>
      <c r="F12" s="9">
        <f t="shared" si="1"/>
        <v>195696</v>
      </c>
      <c r="R12" s="7" t="s">
        <v>49</v>
      </c>
      <c r="T12" s="7">
        <v>3</v>
      </c>
    </row>
    <row r="13" spans="1:20" x14ac:dyDescent="0.25">
      <c r="R13" s="7" t="s">
        <v>48</v>
      </c>
      <c r="T13" s="7">
        <v>4</v>
      </c>
    </row>
    <row r="14" spans="1:20" s="21" customFormat="1" ht="30" x14ac:dyDescent="0.25">
      <c r="A14" s="21" t="s">
        <v>31</v>
      </c>
      <c r="B14" s="25" t="s">
        <v>3</v>
      </c>
      <c r="I14" s="26" t="s">
        <v>40</v>
      </c>
      <c r="J14" s="23" t="s">
        <v>1</v>
      </c>
      <c r="K14" s="23" t="s">
        <v>4</v>
      </c>
      <c r="R14" s="27" t="s">
        <v>50</v>
      </c>
      <c r="T14" s="7">
        <v>5</v>
      </c>
    </row>
    <row r="15" spans="1:20" x14ac:dyDescent="0.25">
      <c r="B15" s="18" t="s">
        <v>10</v>
      </c>
      <c r="J15" s="28">
        <v>7</v>
      </c>
      <c r="K15" s="28">
        <f>DMAX(A2:F12,4,J14:J15)</f>
        <v>1745</v>
      </c>
      <c r="R15" s="7" t="s">
        <v>51</v>
      </c>
      <c r="T15" s="7">
        <v>6</v>
      </c>
    </row>
    <row r="16" spans="1:20" x14ac:dyDescent="0.25">
      <c r="R16" s="7" t="s">
        <v>52</v>
      </c>
      <c r="T16" s="7">
        <v>7</v>
      </c>
    </row>
    <row r="17" spans="1:20" x14ac:dyDescent="0.25">
      <c r="A17" s="19" t="s">
        <v>32</v>
      </c>
      <c r="B17" s="19"/>
      <c r="C17" s="19"/>
      <c r="D17" s="19">
        <f>DSUM(A2:F12,6,B14:B15)</f>
        <v>81244</v>
      </c>
      <c r="I17" s="20" t="s">
        <v>41</v>
      </c>
      <c r="J17" s="20"/>
      <c r="K17" s="20"/>
      <c r="L17" s="20"/>
      <c r="M17" s="20"/>
      <c r="N17" s="19" t="str">
        <f>DGET(A2:F12,2,J14:K15)</f>
        <v>RR.432</v>
      </c>
      <c r="R17" s="7" t="s">
        <v>53</v>
      </c>
      <c r="T17" s="7">
        <v>8</v>
      </c>
    </row>
    <row r="18" spans="1:20" x14ac:dyDescent="0.25">
      <c r="T18" s="7">
        <v>9</v>
      </c>
    </row>
    <row r="19" spans="1:20" x14ac:dyDescent="0.25">
      <c r="A19" t="s">
        <v>33</v>
      </c>
      <c r="T19" s="7">
        <v>10</v>
      </c>
    </row>
    <row r="20" spans="1:20" x14ac:dyDescent="0.25">
      <c r="B20" s="28" t="s">
        <v>1</v>
      </c>
      <c r="T20" s="7">
        <v>11</v>
      </c>
    </row>
    <row r="21" spans="1:20" s="21" customFormat="1" ht="30" x14ac:dyDescent="0.25">
      <c r="B21" s="23">
        <v>8</v>
      </c>
      <c r="I21" s="21" t="s">
        <v>39</v>
      </c>
      <c r="J21" s="23" t="s">
        <v>1</v>
      </c>
      <c r="K21" s="23" t="s">
        <v>4</v>
      </c>
      <c r="T21" s="7">
        <v>12</v>
      </c>
    </row>
    <row r="22" spans="1:20" x14ac:dyDescent="0.25">
      <c r="J22" s="28">
        <v>8</v>
      </c>
      <c r="K22" s="28" t="s">
        <v>29</v>
      </c>
    </row>
    <row r="23" spans="1:20" x14ac:dyDescent="0.25">
      <c r="A23" s="20" t="s">
        <v>34</v>
      </c>
      <c r="B23" s="20"/>
      <c r="C23" s="20"/>
      <c r="D23" s="19">
        <f>DAVERAGE(A2:F12,5,B20:B21)</f>
        <v>234.57142857142858</v>
      </c>
    </row>
    <row r="24" spans="1:20" x14ac:dyDescent="0.25">
      <c r="I24" s="20" t="s">
        <v>42</v>
      </c>
      <c r="J24" s="20"/>
      <c r="K24" s="20"/>
      <c r="L24" s="20"/>
      <c r="M24" s="20"/>
      <c r="N24" s="20"/>
      <c r="O24" s="19">
        <f>DCOUNT(A2:F12,4,J21:K22)</f>
        <v>3</v>
      </c>
    </row>
    <row r="25" spans="1:20" x14ac:dyDescent="0.25">
      <c r="A25" t="s">
        <v>35</v>
      </c>
    </row>
    <row r="26" spans="1:20" x14ac:dyDescent="0.25">
      <c r="B26" s="28" t="s">
        <v>2</v>
      </c>
    </row>
    <row r="27" spans="1:20" s="21" customFormat="1" ht="45" x14ac:dyDescent="0.25">
      <c r="B27" s="23" t="s">
        <v>7</v>
      </c>
      <c r="I27" s="21" t="s">
        <v>43</v>
      </c>
      <c r="J27" s="23" t="s">
        <v>3</v>
      </c>
    </row>
    <row r="28" spans="1:20" s="21" customFormat="1" x14ac:dyDescent="0.25">
      <c r="J28" s="23" t="s">
        <v>8</v>
      </c>
    </row>
    <row r="29" spans="1:20" x14ac:dyDescent="0.25">
      <c r="A29" s="20" t="s">
        <v>36</v>
      </c>
      <c r="B29" s="20"/>
      <c r="C29" s="20"/>
      <c r="D29" s="19">
        <f>DMAX(A2:F12,4,B26:B27)</f>
        <v>1034</v>
      </c>
    </row>
    <row r="30" spans="1:20" x14ac:dyDescent="0.25">
      <c r="I30" s="20" t="s">
        <v>44</v>
      </c>
      <c r="J30" s="20"/>
      <c r="K30" s="20"/>
      <c r="L30" s="20"/>
      <c r="M30" s="20"/>
      <c r="N30" s="19">
        <f>DCOUNTA(A2:F12,3,J27:J28)</f>
        <v>2</v>
      </c>
    </row>
    <row r="31" spans="1:20" x14ac:dyDescent="0.25">
      <c r="A31" t="s">
        <v>37</v>
      </c>
    </row>
    <row r="32" spans="1:20" s="21" customFormat="1" ht="30" x14ac:dyDescent="0.25">
      <c r="A32" s="22"/>
      <c r="B32" s="23" t="s">
        <v>1</v>
      </c>
      <c r="C32" s="23" t="s">
        <v>2</v>
      </c>
      <c r="D32" s="23" t="s">
        <v>3</v>
      </c>
    </row>
    <row r="33" spans="1:6" x14ac:dyDescent="0.25">
      <c r="B33" s="28">
        <v>8</v>
      </c>
      <c r="C33" s="28" t="s">
        <v>9</v>
      </c>
      <c r="D33" s="28" t="s">
        <v>10</v>
      </c>
    </row>
    <row r="35" spans="1:6" x14ac:dyDescent="0.25">
      <c r="A35" s="20" t="s">
        <v>38</v>
      </c>
      <c r="B35" s="20"/>
      <c r="C35" s="20"/>
      <c r="D35" s="20"/>
      <c r="E35" s="20"/>
      <c r="F35" s="19">
        <f>DGET(A2:F12,6,B32:D33)</f>
        <v>24624</v>
      </c>
    </row>
  </sheetData>
  <mergeCells count="6">
    <mergeCell ref="A23:C23"/>
    <mergeCell ref="A29:C29"/>
    <mergeCell ref="A35:E35"/>
    <mergeCell ref="I17:M17"/>
    <mergeCell ref="I24:N24"/>
    <mergeCell ref="I30:M30"/>
  </mergeCells>
  <dataValidations count="2">
    <dataValidation type="list" allowBlank="1" showInputMessage="1" showErrorMessage="1" sqref="R10:R18" xr:uid="{C30A1992-40D4-44E5-AACE-01C0845838FE}">
      <formula1>$R$10:$R$18</formula1>
    </dataValidation>
    <dataValidation type="list" allowBlank="1" showInputMessage="1" showErrorMessage="1" sqref="T10:T22" xr:uid="{F5D5713E-E321-4200-AC75-67EAAA76E2E2}">
      <formula1>$T$10:$T$22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topLeftCell="D2" workbookViewId="0">
      <selection activeCell="I13" sqref="I13"/>
    </sheetView>
  </sheetViews>
  <sheetFormatPr defaultRowHeight="15" outlineLevelRow="3" x14ac:dyDescent="0.25"/>
  <cols>
    <col min="1" max="1" width="18.42578125" customWidth="1"/>
    <col min="3" max="3" width="11.28515625" customWidth="1"/>
    <col min="4" max="4" width="10.140625" customWidth="1"/>
    <col min="5" max="5" width="13.7109375" customWidth="1"/>
    <col min="6" max="6" width="13.28515625" customWidth="1"/>
    <col min="9" max="9" width="32.28515625" bestFit="1" customWidth="1"/>
    <col min="10" max="10" width="20.85546875" bestFit="1" customWidth="1"/>
    <col min="11" max="11" width="10.7109375" customWidth="1"/>
    <col min="12" max="12" width="11.85546875" bestFit="1" customWidth="1"/>
    <col min="13" max="13" width="36.7109375" bestFit="1" customWidth="1"/>
    <col min="14" max="14" width="37" bestFit="1" customWidth="1"/>
    <col min="15" max="15" width="41.42578125" bestFit="1" customWidth="1"/>
    <col min="16" max="16" width="37" bestFit="1" customWidth="1"/>
    <col min="17" max="17" width="39.42578125" bestFit="1" customWidth="1"/>
    <col min="18" max="18" width="41.42578125" bestFit="1" customWidth="1"/>
  </cols>
  <sheetData>
    <row r="1" spans="1:12" ht="15.75" x14ac:dyDescent="0.25">
      <c r="A1" s="1"/>
      <c r="B1" s="2" t="s">
        <v>0</v>
      </c>
      <c r="C1" s="1"/>
      <c r="D1" s="1"/>
      <c r="E1" s="1"/>
      <c r="F1" s="1"/>
      <c r="G1" s="5"/>
      <c r="H1" s="5"/>
      <c r="I1" s="35" t="s">
        <v>62</v>
      </c>
      <c r="J1" s="35" t="s">
        <v>63</v>
      </c>
    </row>
    <row r="2" spans="1:12" s="21" customFormat="1" ht="32.25" customHeight="1" x14ac:dyDescent="0.25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31"/>
      <c r="H2" s="30"/>
      <c r="I2" s="35" t="s">
        <v>60</v>
      </c>
      <c r="J2">
        <v>7</v>
      </c>
      <c r="K2">
        <v>8</v>
      </c>
      <c r="L2" t="s">
        <v>56</v>
      </c>
    </row>
    <row r="3" spans="1:12" outlineLevel="3" x14ac:dyDescent="0.25">
      <c r="A3" s="9">
        <v>7</v>
      </c>
      <c r="B3" s="9" t="s">
        <v>7</v>
      </c>
      <c r="C3" s="9" t="str">
        <f>VLOOKUP(B3,Матеріали,2,0)</f>
        <v>Мідь</v>
      </c>
      <c r="D3" s="9">
        <v>950</v>
      </c>
      <c r="E3" s="9">
        <v>127</v>
      </c>
      <c r="F3" s="9">
        <f>D3*E3</f>
        <v>120650</v>
      </c>
      <c r="G3" s="5"/>
      <c r="H3" s="6"/>
      <c r="I3" s="36" t="s">
        <v>20</v>
      </c>
      <c r="J3" s="37"/>
      <c r="K3" s="37">
        <v>195696</v>
      </c>
      <c r="L3" s="37">
        <v>195696</v>
      </c>
    </row>
    <row r="4" spans="1:12" outlineLevel="3" x14ac:dyDescent="0.25">
      <c r="A4" s="9">
        <v>7</v>
      </c>
      <c r="B4" s="9" t="s">
        <v>9</v>
      </c>
      <c r="C4" s="9" t="str">
        <f>VLOOKUP(B4,Матеріали,2,0)</f>
        <v>Залізо</v>
      </c>
      <c r="D4" s="9">
        <v>745</v>
      </c>
      <c r="E4" s="9">
        <v>76</v>
      </c>
      <c r="F4" s="9">
        <f>D4*E4</f>
        <v>56620</v>
      </c>
      <c r="G4" s="5"/>
      <c r="H4" s="6"/>
      <c r="I4" s="36" t="s">
        <v>10</v>
      </c>
      <c r="J4" s="37">
        <v>56620</v>
      </c>
      <c r="K4" s="37">
        <v>24624</v>
      </c>
      <c r="L4" s="37">
        <v>81244</v>
      </c>
    </row>
    <row r="5" spans="1:12" outlineLevel="3" x14ac:dyDescent="0.25">
      <c r="A5" s="9">
        <v>7</v>
      </c>
      <c r="B5" s="9" t="s">
        <v>11</v>
      </c>
      <c r="C5" s="9" t="str">
        <f>VLOOKUP(B5,Матеріали,2,0)</f>
        <v>Золото</v>
      </c>
      <c r="D5" s="9">
        <v>1745</v>
      </c>
      <c r="E5" s="9">
        <v>5</v>
      </c>
      <c r="F5" s="9">
        <f>D5*E5</f>
        <v>8725</v>
      </c>
      <c r="G5" s="5"/>
      <c r="H5" s="6"/>
      <c r="I5" s="36" t="s">
        <v>12</v>
      </c>
      <c r="J5" s="37">
        <v>8725</v>
      </c>
      <c r="K5" s="37">
        <v>2160</v>
      </c>
      <c r="L5" s="37">
        <v>10885</v>
      </c>
    </row>
    <row r="6" spans="1:12" outlineLevel="2" x14ac:dyDescent="0.25">
      <c r="A6" s="32" t="s">
        <v>57</v>
      </c>
      <c r="B6" s="9"/>
      <c r="C6" s="9"/>
      <c r="D6" s="9">
        <f>SUBTOTAL(1,D3:D5)</f>
        <v>1146.6666666666667</v>
      </c>
      <c r="E6" s="9"/>
      <c r="F6" s="9">
        <f>SUBTOTAL(1,F3:F5)</f>
        <v>61998.333333333336</v>
      </c>
      <c r="G6" s="5"/>
      <c r="H6" s="6"/>
      <c r="I6" s="36" t="s">
        <v>8</v>
      </c>
      <c r="J6" s="37">
        <v>120650</v>
      </c>
      <c r="K6" s="37">
        <v>131318</v>
      </c>
      <c r="L6" s="37">
        <v>251968</v>
      </c>
    </row>
    <row r="7" spans="1:12" outlineLevel="1" x14ac:dyDescent="0.25">
      <c r="A7" s="32" t="s">
        <v>54</v>
      </c>
      <c r="B7" s="9"/>
      <c r="C7" s="9"/>
      <c r="D7" s="9">
        <f>SUBTOTAL(9,D3:D5)</f>
        <v>3440</v>
      </c>
      <c r="E7" s="9"/>
      <c r="F7" s="9">
        <f>SUBTOTAL(9,F3:F5)</f>
        <v>185995</v>
      </c>
      <c r="G7" s="5"/>
      <c r="H7" s="6"/>
      <c r="I7" s="36" t="s">
        <v>16</v>
      </c>
      <c r="J7" s="37"/>
      <c r="K7" s="37">
        <v>911925</v>
      </c>
      <c r="L7" s="37">
        <v>911925</v>
      </c>
    </row>
    <row r="8" spans="1:12" outlineLevel="3" x14ac:dyDescent="0.25">
      <c r="A8" s="9">
        <v>8</v>
      </c>
      <c r="B8" s="9" t="s">
        <v>7</v>
      </c>
      <c r="C8" s="9" t="str">
        <f>VLOOKUP(B8,Матеріали,2,0)</f>
        <v>Мідь</v>
      </c>
      <c r="D8" s="9">
        <v>1034</v>
      </c>
      <c r="E8" s="9">
        <v>127</v>
      </c>
      <c r="F8" s="9">
        <f>D8*E8</f>
        <v>131318</v>
      </c>
      <c r="G8" s="5"/>
      <c r="H8" s="6"/>
      <c r="I8" s="36" t="s">
        <v>18</v>
      </c>
      <c r="J8" s="37"/>
      <c r="K8" s="37">
        <v>13500</v>
      </c>
      <c r="L8" s="37">
        <v>13500</v>
      </c>
    </row>
    <row r="9" spans="1:12" outlineLevel="3" x14ac:dyDescent="0.25">
      <c r="A9" s="9">
        <v>8</v>
      </c>
      <c r="B9" s="9" t="s">
        <v>9</v>
      </c>
      <c r="C9" s="9" t="str">
        <f>VLOOKUP(B9,Матеріали,2,0)</f>
        <v>Залізо</v>
      </c>
      <c r="D9" s="9">
        <v>324</v>
      </c>
      <c r="E9" s="9">
        <v>76</v>
      </c>
      <c r="F9" s="9">
        <f>D9*E9</f>
        <v>24624</v>
      </c>
      <c r="G9" s="5"/>
      <c r="H9" s="6"/>
      <c r="I9" s="36" t="s">
        <v>14</v>
      </c>
      <c r="J9" s="37"/>
      <c r="K9" s="37">
        <v>69435</v>
      </c>
      <c r="L9" s="37">
        <v>69435</v>
      </c>
    </row>
    <row r="10" spans="1:12" outlineLevel="3" x14ac:dyDescent="0.25">
      <c r="A10" s="9">
        <v>8</v>
      </c>
      <c r="B10" s="9" t="s">
        <v>11</v>
      </c>
      <c r="C10" s="9" t="str">
        <f>VLOOKUP(B10,Матеріали,2,0)</f>
        <v>Золото</v>
      </c>
      <c r="D10" s="9">
        <v>432</v>
      </c>
      <c r="E10" s="9">
        <v>5</v>
      </c>
      <c r="F10" s="9">
        <f>D10*E10</f>
        <v>2160</v>
      </c>
      <c r="G10" s="5"/>
      <c r="H10" s="6"/>
      <c r="I10" s="36" t="s">
        <v>56</v>
      </c>
      <c r="J10" s="37">
        <v>185995</v>
      </c>
      <c r="K10" s="37">
        <v>1348658</v>
      </c>
      <c r="L10" s="37">
        <v>1534653</v>
      </c>
    </row>
    <row r="11" spans="1:12" outlineLevel="3" x14ac:dyDescent="0.25">
      <c r="A11" s="9">
        <v>8</v>
      </c>
      <c r="B11" s="9" t="s">
        <v>13</v>
      </c>
      <c r="C11" s="9" t="str">
        <f>VLOOKUP(B11,Матеріали,2,0)</f>
        <v>Срібло</v>
      </c>
      <c r="D11" s="9">
        <v>1543</v>
      </c>
      <c r="E11" s="9">
        <v>45</v>
      </c>
      <c r="F11" s="9">
        <f>D11*E11</f>
        <v>69435</v>
      </c>
      <c r="G11" s="5"/>
      <c r="H11" s="6"/>
      <c r="I11" s="6"/>
      <c r="J11" s="5"/>
      <c r="K11" s="5"/>
      <c r="L11" s="5"/>
    </row>
    <row r="12" spans="1:12" outlineLevel="3" x14ac:dyDescent="0.25">
      <c r="A12" s="9">
        <v>8</v>
      </c>
      <c r="B12" s="9" t="s">
        <v>15</v>
      </c>
      <c r="C12" s="9" t="str">
        <f>VLOOKUP(B12,Матеріали,2,0)</f>
        <v>Нікель</v>
      </c>
      <c r="D12" s="9">
        <v>965</v>
      </c>
      <c r="E12" s="9">
        <v>945</v>
      </c>
      <c r="F12" s="9">
        <f>D12*E12</f>
        <v>911925</v>
      </c>
      <c r="G12" s="5"/>
      <c r="H12" s="5"/>
      <c r="I12" s="5"/>
      <c r="J12" s="5"/>
      <c r="K12" s="5"/>
      <c r="L12" s="5"/>
    </row>
    <row r="13" spans="1:12" outlineLevel="3" x14ac:dyDescent="0.25">
      <c r="A13" s="9">
        <v>8</v>
      </c>
      <c r="B13" s="9" t="s">
        <v>17</v>
      </c>
      <c r="C13" s="9" t="str">
        <f>VLOOKUP(B13,Матеріали,2,0)</f>
        <v>Олово</v>
      </c>
      <c r="D13" s="9">
        <v>1125</v>
      </c>
      <c r="E13" s="9">
        <v>12</v>
      </c>
      <c r="F13" s="9">
        <f>D13*E13</f>
        <v>13500</v>
      </c>
      <c r="G13" s="5"/>
      <c r="H13" s="5"/>
      <c r="I13" s="35" t="s">
        <v>61</v>
      </c>
      <c r="J13" s="35" t="s">
        <v>63</v>
      </c>
    </row>
    <row r="14" spans="1:12" outlineLevel="3" x14ac:dyDescent="0.25">
      <c r="A14" s="9">
        <v>8</v>
      </c>
      <c r="B14" s="9" t="s">
        <v>19</v>
      </c>
      <c r="C14" s="9" t="str">
        <f>VLOOKUP(B14,Матеріали,2,0)</f>
        <v>Алюміній</v>
      </c>
      <c r="D14" s="9">
        <v>453</v>
      </c>
      <c r="E14" s="9">
        <v>432</v>
      </c>
      <c r="F14" s="9">
        <f>D14*E14</f>
        <v>195696</v>
      </c>
      <c r="G14" s="5"/>
      <c r="H14" s="5"/>
      <c r="I14" s="35" t="s">
        <v>60</v>
      </c>
      <c r="J14">
        <v>7</v>
      </c>
      <c r="K14">
        <v>8</v>
      </c>
      <c r="L14" t="s">
        <v>56</v>
      </c>
    </row>
    <row r="15" spans="1:12" outlineLevel="2" x14ac:dyDescent="0.25">
      <c r="A15" s="34" t="s">
        <v>58</v>
      </c>
      <c r="B15" s="33"/>
      <c r="C15" s="33"/>
      <c r="D15" s="33">
        <f>SUBTOTAL(1,D8:D14)</f>
        <v>839.42857142857144</v>
      </c>
      <c r="E15" s="33"/>
      <c r="F15" s="33">
        <f>SUBTOTAL(1,F8:F14)</f>
        <v>192665.42857142858</v>
      </c>
      <c r="G15" s="5"/>
      <c r="H15" s="5"/>
      <c r="I15" s="36" t="s">
        <v>7</v>
      </c>
      <c r="J15" s="37">
        <v>950</v>
      </c>
      <c r="K15" s="37">
        <v>1034</v>
      </c>
      <c r="L15" s="37">
        <v>1984</v>
      </c>
    </row>
    <row r="16" spans="1:12" outlineLevel="1" x14ac:dyDescent="0.25">
      <c r="A16" s="34" t="s">
        <v>55</v>
      </c>
      <c r="B16" s="33"/>
      <c r="C16" s="33"/>
      <c r="D16" s="33">
        <f>SUBTOTAL(9,D8:D14)</f>
        <v>5876</v>
      </c>
      <c r="E16" s="33"/>
      <c r="F16" s="33">
        <f>SUBTOTAL(9,F8:F14)</f>
        <v>1348658</v>
      </c>
      <c r="G16" s="5"/>
      <c r="H16" s="5"/>
      <c r="I16" s="36" t="s">
        <v>15</v>
      </c>
      <c r="J16" s="37"/>
      <c r="K16" s="37">
        <v>965</v>
      </c>
      <c r="L16" s="37">
        <v>965</v>
      </c>
    </row>
    <row r="17" spans="1:12" x14ac:dyDescent="0.25">
      <c r="A17" s="34" t="s">
        <v>59</v>
      </c>
      <c r="B17" s="33"/>
      <c r="C17" s="33"/>
      <c r="D17" s="33">
        <f>SUBTOTAL(1,D3:D14)</f>
        <v>931.6</v>
      </c>
      <c r="E17" s="33"/>
      <c r="F17" s="33">
        <f>SUBTOTAL(1,F3:F14)</f>
        <v>153465.29999999999</v>
      </c>
      <c r="G17" s="5"/>
      <c r="H17" s="5"/>
      <c r="I17" s="36" t="s">
        <v>9</v>
      </c>
      <c r="J17" s="37">
        <v>745</v>
      </c>
      <c r="K17" s="37">
        <v>324</v>
      </c>
      <c r="L17" s="37">
        <v>1069</v>
      </c>
    </row>
    <row r="18" spans="1:12" x14ac:dyDescent="0.25">
      <c r="A18" s="34" t="s">
        <v>56</v>
      </c>
      <c r="B18" s="33"/>
      <c r="C18" s="33"/>
      <c r="D18" s="33">
        <f>SUBTOTAL(9,D3:D14)</f>
        <v>9316</v>
      </c>
      <c r="E18" s="33"/>
      <c r="F18" s="33">
        <f>SUBTOTAL(9,F3:F14)</f>
        <v>1534653</v>
      </c>
      <c r="G18" s="5"/>
      <c r="H18" s="5"/>
      <c r="I18" s="36" t="s">
        <v>11</v>
      </c>
      <c r="J18" s="37">
        <v>1745</v>
      </c>
      <c r="K18" s="37">
        <v>432</v>
      </c>
      <c r="L18" s="37">
        <v>2177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36" t="s">
        <v>13</v>
      </c>
      <c r="J19" s="37"/>
      <c r="K19" s="37">
        <v>1543</v>
      </c>
      <c r="L19" s="37">
        <v>1543</v>
      </c>
    </row>
    <row r="20" spans="1:12" x14ac:dyDescent="0.25">
      <c r="I20" s="36" t="s">
        <v>17</v>
      </c>
      <c r="J20" s="37"/>
      <c r="K20" s="37">
        <v>1125</v>
      </c>
      <c r="L20" s="37">
        <v>1125</v>
      </c>
    </row>
    <row r="21" spans="1:12" x14ac:dyDescent="0.25">
      <c r="I21" s="36" t="s">
        <v>19</v>
      </c>
      <c r="J21" s="37"/>
      <c r="K21" s="37">
        <v>453</v>
      </c>
      <c r="L21" s="37">
        <v>453</v>
      </c>
    </row>
    <row r="22" spans="1:12" x14ac:dyDescent="0.25">
      <c r="I22" s="36" t="s">
        <v>56</v>
      </c>
      <c r="J22" s="37">
        <v>3440</v>
      </c>
      <c r="K22" s="37">
        <v>5876</v>
      </c>
      <c r="L22" s="37">
        <v>9316</v>
      </c>
    </row>
  </sheetData>
  <sortState xmlns:xlrd2="http://schemas.microsoft.com/office/spreadsheetml/2017/richdata2" ref="A3:F14">
    <sortCondition ref="A3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Початкові_таблиці</vt:lpstr>
      <vt:lpstr>Фільтри</vt:lpstr>
      <vt:lpstr>Підстановки та посилання</vt:lpstr>
      <vt:lpstr>Функції_БД</vt:lpstr>
      <vt:lpstr>Проміжні_підсумки</vt:lpstr>
      <vt:lpstr>Фільтри!Извлечь</vt:lpstr>
      <vt:lpstr>Фільтри!Критерии</vt:lpstr>
      <vt:lpstr>Матеріали</vt:lpstr>
      <vt:lpstr>Потреба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Artisoul</cp:lastModifiedBy>
  <dcterms:created xsi:type="dcterms:W3CDTF">2020-03-16T15:06:49Z</dcterms:created>
  <dcterms:modified xsi:type="dcterms:W3CDTF">2024-12-26T15:54:24Z</dcterms:modified>
</cp:coreProperties>
</file>