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drawings/drawing1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DDR4_HEVC ENC(SVN14702)" sheetId="6" r:id="rId1"/>
    <sheet name="DDR4_HEVC_ENC(SVN15040)" sheetId="8" r:id="rId2"/>
    <sheet name="DDR4_HEVC_ENC(SVN15532)" sheetId="9" r:id="rId3"/>
    <sheet name="HEVC_Enc_Performance_Summary" sheetId="7" r:id="rId4"/>
    <sheet name="DDR3_HEVC_ENC(SVN15532)" sheetId="10" r:id="rId5"/>
    <sheet name="DDR3_HEVC_ENC_CABAC" sheetId="11" r:id="rId6"/>
    <sheet name="DDR3_HEVC_ENC_10bit" sheetId="12" r:id="rId7"/>
  </sheets>
  <calcPr calcId="145621"/>
</workbook>
</file>

<file path=xl/calcChain.xml><?xml version="1.0" encoding="utf-8"?>
<calcChain xmlns="http://schemas.openxmlformats.org/spreadsheetml/2006/main">
  <c r="I125" i="12" l="1"/>
  <c r="I126" i="12"/>
  <c r="I127" i="12"/>
  <c r="I128" i="12"/>
  <c r="I129" i="12"/>
  <c r="I130" i="12"/>
  <c r="I131" i="12"/>
  <c r="I132" i="12"/>
  <c r="I133" i="12"/>
  <c r="H126" i="12"/>
  <c r="H127" i="12"/>
  <c r="H128" i="12"/>
  <c r="H129" i="12"/>
  <c r="H130" i="12"/>
  <c r="H131" i="12"/>
  <c r="H132" i="12"/>
  <c r="H133" i="12"/>
  <c r="H125" i="12"/>
  <c r="I103" i="12" l="1"/>
  <c r="I104" i="12"/>
  <c r="I105" i="12"/>
  <c r="I106" i="12"/>
  <c r="I107" i="12"/>
  <c r="I108" i="12"/>
  <c r="I109" i="12"/>
  <c r="I110" i="12"/>
  <c r="I111" i="12"/>
  <c r="I112" i="12"/>
  <c r="I113" i="12"/>
  <c r="I90" i="12"/>
  <c r="I91" i="12"/>
  <c r="I92" i="12"/>
  <c r="I93" i="12"/>
  <c r="I94" i="12"/>
  <c r="I95" i="12"/>
  <c r="I96" i="12"/>
  <c r="I97" i="12"/>
  <c r="I98" i="12"/>
  <c r="I99" i="12"/>
  <c r="I100" i="12"/>
  <c r="I77" i="12" l="1"/>
  <c r="I78" i="12"/>
  <c r="I79" i="12"/>
  <c r="I80" i="12"/>
  <c r="I81" i="12"/>
  <c r="I82" i="12"/>
  <c r="I83" i="12"/>
  <c r="I84" i="12"/>
  <c r="I85" i="12"/>
  <c r="I86" i="12"/>
  <c r="I87" i="12"/>
  <c r="I65" i="12"/>
  <c r="I66" i="12"/>
  <c r="I67" i="12"/>
  <c r="I68" i="12"/>
  <c r="I69" i="12"/>
  <c r="I70" i="12"/>
  <c r="I71" i="12"/>
  <c r="I72" i="12"/>
  <c r="I73" i="12"/>
  <c r="I74" i="12"/>
  <c r="I53" i="12"/>
  <c r="I54" i="12"/>
  <c r="I55" i="12"/>
  <c r="I56" i="12"/>
  <c r="I57" i="12"/>
  <c r="I58" i="12"/>
  <c r="I59" i="12"/>
  <c r="I60" i="12"/>
  <c r="I61" i="12"/>
  <c r="I62" i="12"/>
  <c r="I41" i="12"/>
  <c r="I42" i="12"/>
  <c r="I43" i="12"/>
  <c r="I44" i="12"/>
  <c r="I45" i="12"/>
  <c r="I46" i="12"/>
  <c r="I47" i="12"/>
  <c r="I48" i="12"/>
  <c r="I49" i="12"/>
  <c r="I50" i="12"/>
  <c r="I29" i="12"/>
  <c r="I30" i="12"/>
  <c r="I31" i="12"/>
  <c r="I32" i="12"/>
  <c r="I33" i="12"/>
  <c r="I34" i="12"/>
  <c r="I35" i="12"/>
  <c r="I36" i="12"/>
  <c r="I37" i="12"/>
  <c r="I38" i="12"/>
  <c r="I17" i="12"/>
  <c r="I18" i="12"/>
  <c r="I19" i="12"/>
  <c r="I20" i="12"/>
  <c r="I21" i="12"/>
  <c r="I22" i="12"/>
  <c r="I23" i="12"/>
  <c r="I24" i="12"/>
  <c r="I25" i="12"/>
  <c r="I26" i="12"/>
  <c r="I5" i="12"/>
  <c r="I6" i="12"/>
  <c r="I7" i="12"/>
  <c r="I8" i="12"/>
  <c r="I9" i="12"/>
  <c r="I10" i="12"/>
  <c r="I11" i="12"/>
  <c r="I12" i="12"/>
  <c r="I13" i="12"/>
  <c r="I14" i="12"/>
  <c r="E103" i="12"/>
  <c r="E104" i="12"/>
  <c r="E105" i="12"/>
  <c r="E106" i="12"/>
  <c r="E107" i="12"/>
  <c r="E108" i="12"/>
  <c r="E109" i="12"/>
  <c r="E110" i="12"/>
  <c r="E111" i="12"/>
  <c r="E112" i="12"/>
  <c r="E113" i="12"/>
  <c r="E90" i="12"/>
  <c r="E91" i="12"/>
  <c r="E92" i="12"/>
  <c r="E93" i="12"/>
  <c r="E94" i="12"/>
  <c r="E95" i="12"/>
  <c r="E96" i="12"/>
  <c r="E97" i="12"/>
  <c r="E98" i="12"/>
  <c r="E99" i="12"/>
  <c r="E100" i="12"/>
  <c r="E77" i="12"/>
  <c r="E78" i="12"/>
  <c r="E79" i="12"/>
  <c r="E80" i="12"/>
  <c r="E81" i="12"/>
  <c r="E82" i="12"/>
  <c r="E83" i="12"/>
  <c r="E84" i="12"/>
  <c r="E85" i="12"/>
  <c r="E86" i="12"/>
  <c r="E87" i="12"/>
  <c r="E65" i="12"/>
  <c r="E66" i="12"/>
  <c r="E67" i="12"/>
  <c r="E68" i="12"/>
  <c r="E69" i="12"/>
  <c r="E70" i="12"/>
  <c r="E71" i="12"/>
  <c r="E72" i="12"/>
  <c r="E73" i="12"/>
  <c r="E74" i="12"/>
  <c r="E53" i="12"/>
  <c r="E54" i="12"/>
  <c r="E55" i="12"/>
  <c r="E56" i="12"/>
  <c r="E57" i="12"/>
  <c r="E58" i="12"/>
  <c r="E59" i="12"/>
  <c r="E60" i="12"/>
  <c r="E61" i="12"/>
  <c r="E62" i="12"/>
  <c r="E41" i="12"/>
  <c r="E42" i="12"/>
  <c r="E43" i="12"/>
  <c r="E44" i="12"/>
  <c r="E45" i="12"/>
  <c r="E46" i="12"/>
  <c r="E47" i="12"/>
  <c r="E48" i="12"/>
  <c r="E49" i="12"/>
  <c r="E50" i="12"/>
  <c r="E29" i="12"/>
  <c r="E30" i="12"/>
  <c r="E31" i="12"/>
  <c r="E32" i="12"/>
  <c r="E33" i="12"/>
  <c r="E34" i="12"/>
  <c r="E35" i="12"/>
  <c r="E36" i="12"/>
  <c r="E37" i="12"/>
  <c r="E38" i="12"/>
  <c r="G29" i="12"/>
  <c r="G30" i="12"/>
  <c r="G31" i="12"/>
  <c r="G32" i="12"/>
  <c r="G33" i="12"/>
  <c r="G34" i="12"/>
  <c r="G35" i="12"/>
  <c r="G36" i="12"/>
  <c r="G37" i="12"/>
  <c r="G38" i="12"/>
  <c r="E17" i="12"/>
  <c r="E18" i="12"/>
  <c r="E19" i="12"/>
  <c r="E20" i="12"/>
  <c r="E21" i="12"/>
  <c r="E22" i="12"/>
  <c r="E23" i="12"/>
  <c r="E24" i="12"/>
  <c r="E25" i="12"/>
  <c r="E26" i="12"/>
  <c r="E5" i="12"/>
  <c r="E6" i="12"/>
  <c r="E7" i="12"/>
  <c r="E8" i="12"/>
  <c r="E9" i="12"/>
  <c r="E10" i="12"/>
  <c r="E11" i="12"/>
  <c r="E12" i="12"/>
  <c r="E13" i="12"/>
  <c r="E14" i="12"/>
  <c r="G113" i="12" l="1"/>
  <c r="G112" i="12"/>
  <c r="G111" i="12"/>
  <c r="G110" i="12"/>
  <c r="G109" i="12"/>
  <c r="G108" i="12"/>
  <c r="G107" i="12"/>
  <c r="G106" i="12"/>
  <c r="G105" i="12"/>
  <c r="G104" i="12"/>
  <c r="G103" i="12"/>
  <c r="G100" i="12"/>
  <c r="G99" i="12"/>
  <c r="G98" i="12"/>
  <c r="G97" i="12"/>
  <c r="G96" i="12"/>
  <c r="G95" i="12"/>
  <c r="G94" i="12"/>
  <c r="G93" i="12"/>
  <c r="G92" i="12"/>
  <c r="G91" i="12"/>
  <c r="G90" i="12"/>
  <c r="G87" i="12"/>
  <c r="G86" i="12"/>
  <c r="G85" i="12"/>
  <c r="G84" i="12"/>
  <c r="G83" i="12"/>
  <c r="G82" i="12"/>
  <c r="G81" i="12"/>
  <c r="G80" i="12"/>
  <c r="G79" i="12"/>
  <c r="G78" i="12"/>
  <c r="G77" i="12"/>
  <c r="G74" i="12"/>
  <c r="G73" i="12"/>
  <c r="G72" i="12"/>
  <c r="G71" i="12"/>
  <c r="G70" i="12"/>
  <c r="G69" i="12"/>
  <c r="G68" i="12"/>
  <c r="G67" i="12"/>
  <c r="G66" i="12"/>
  <c r="G65" i="12"/>
  <c r="G62" i="12"/>
  <c r="G61" i="12"/>
  <c r="G60" i="12"/>
  <c r="G59" i="12"/>
  <c r="G58" i="12"/>
  <c r="G57" i="12"/>
  <c r="G56" i="12"/>
  <c r="G55" i="12"/>
  <c r="G54" i="12"/>
  <c r="G53" i="12"/>
  <c r="G50" i="12"/>
  <c r="G49" i="12"/>
  <c r="G48" i="12"/>
  <c r="G47" i="12"/>
  <c r="G46" i="12"/>
  <c r="G45" i="12"/>
  <c r="G44" i="12"/>
  <c r="G43" i="12"/>
  <c r="G42" i="12"/>
  <c r="G41" i="12"/>
  <c r="G26" i="12"/>
  <c r="G25" i="12"/>
  <c r="G24" i="12"/>
  <c r="G23" i="12"/>
  <c r="G22" i="12"/>
  <c r="G21" i="12"/>
  <c r="G20" i="12"/>
  <c r="G19" i="12"/>
  <c r="G18" i="12"/>
  <c r="G17" i="12"/>
  <c r="G11" i="12"/>
  <c r="G12" i="12"/>
  <c r="G13" i="12"/>
  <c r="G14" i="12"/>
  <c r="G10" i="12"/>
  <c r="G9" i="12"/>
  <c r="G8" i="12"/>
  <c r="G7" i="12"/>
  <c r="G6" i="12"/>
  <c r="G5" i="12"/>
  <c r="H240" i="11" l="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190" i="1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240" i="11"/>
  <c r="F240" i="11" s="1"/>
  <c r="E239" i="11"/>
  <c r="F239" i="11" s="1"/>
  <c r="E238" i="11"/>
  <c r="F238" i="11" s="1"/>
  <c r="E237" i="11"/>
  <c r="F237" i="11" s="1"/>
  <c r="E236" i="11"/>
  <c r="F236" i="11" s="1"/>
  <c r="E235" i="11"/>
  <c r="F235" i="11" s="1"/>
  <c r="E234" i="11"/>
  <c r="F234" i="11" s="1"/>
  <c r="E233" i="11"/>
  <c r="F233" i="11" s="1"/>
  <c r="E232" i="11"/>
  <c r="F232" i="11" s="1"/>
  <c r="E231" i="11"/>
  <c r="F231" i="11" s="1"/>
  <c r="E230" i="11"/>
  <c r="F230" i="11" s="1"/>
  <c r="E229" i="11"/>
  <c r="F229" i="11" s="1"/>
  <c r="E228" i="11"/>
  <c r="F228" i="11" s="1"/>
  <c r="E227" i="11"/>
  <c r="F227" i="11" s="1"/>
  <c r="E226" i="11"/>
  <c r="F226" i="11" s="1"/>
  <c r="H202" i="11"/>
  <c r="H204" i="11"/>
  <c r="H203" i="11"/>
  <c r="H201" i="11"/>
  <c r="H200" i="11"/>
  <c r="H199" i="11"/>
  <c r="H198" i="11"/>
  <c r="H197" i="11"/>
  <c r="H196" i="11"/>
  <c r="H195" i="11"/>
  <c r="H194" i="11"/>
  <c r="H193" i="11"/>
  <c r="H192" i="11"/>
  <c r="H191" i="11"/>
  <c r="E203" i="11"/>
  <c r="F203" i="11" s="1"/>
  <c r="E202" i="11"/>
  <c r="F202" i="11" s="1"/>
  <c r="E201" i="11"/>
  <c r="F201" i="11" s="1"/>
  <c r="E200" i="11"/>
  <c r="F200" i="11" s="1"/>
  <c r="E199" i="11"/>
  <c r="F199" i="11" s="1"/>
  <c r="E198" i="11"/>
  <c r="F198" i="11" s="1"/>
  <c r="E197" i="11"/>
  <c r="F197" i="11" s="1"/>
  <c r="E196" i="11"/>
  <c r="F196" i="11" s="1"/>
  <c r="E195" i="11"/>
  <c r="F195" i="11" s="1"/>
  <c r="E194" i="11"/>
  <c r="F194" i="11" s="1"/>
  <c r="E193" i="11"/>
  <c r="F193" i="11" s="1"/>
  <c r="E192" i="11"/>
  <c r="F192" i="11" s="1"/>
  <c r="E191" i="11"/>
  <c r="F191" i="11" s="1"/>
  <c r="E190" i="11"/>
  <c r="F190" i="11" s="1"/>
  <c r="E204" i="11"/>
  <c r="F204" i="11" s="1"/>
  <c r="E157" i="11"/>
  <c r="F157" i="11" s="1"/>
  <c r="H157" i="11"/>
  <c r="E158" i="11"/>
  <c r="F158" i="11" s="1"/>
  <c r="H158" i="11"/>
  <c r="E169" i="11"/>
  <c r="F169" i="11" s="1"/>
  <c r="E168" i="11"/>
  <c r="F168" i="11" s="1"/>
  <c r="E167" i="11"/>
  <c r="F167" i="11" s="1"/>
  <c r="E166" i="11"/>
  <c r="F166" i="11" s="1"/>
  <c r="E165" i="11"/>
  <c r="F165" i="11" s="1"/>
  <c r="E164" i="11"/>
  <c r="F164" i="11" s="1"/>
  <c r="H169" i="11"/>
  <c r="H168" i="11"/>
  <c r="H167" i="11"/>
  <c r="H166" i="11"/>
  <c r="H165" i="11"/>
  <c r="H164" i="11"/>
  <c r="E163" i="11"/>
  <c r="F163" i="11" s="1"/>
  <c r="E162" i="11"/>
  <c r="F162" i="11" s="1"/>
  <c r="H163" i="11"/>
  <c r="H162" i="11"/>
  <c r="H159" i="11"/>
  <c r="E159" i="11"/>
  <c r="F159" i="11" s="1"/>
  <c r="H160" i="11"/>
  <c r="E160" i="11"/>
  <c r="F160" i="11" s="1"/>
  <c r="H161" i="11"/>
  <c r="E161" i="11"/>
  <c r="F161" i="11" s="1"/>
  <c r="H170" i="11"/>
  <c r="E170" i="11"/>
  <c r="F170" i="11" s="1"/>
  <c r="H171" i="11"/>
  <c r="E171" i="11"/>
  <c r="F171" i="11" s="1"/>
  <c r="H148" i="11"/>
  <c r="E148" i="11"/>
  <c r="F148" i="11" s="1"/>
  <c r="H147" i="11"/>
  <c r="E147" i="11"/>
  <c r="F147" i="11" s="1"/>
  <c r="H146" i="11"/>
  <c r="E146" i="11"/>
  <c r="F146" i="11" s="1"/>
  <c r="H145" i="11"/>
  <c r="E145" i="11"/>
  <c r="F145" i="11" s="1"/>
  <c r="H144" i="11"/>
  <c r="E144" i="11"/>
  <c r="F144" i="11" s="1"/>
  <c r="H139" i="11"/>
  <c r="E139" i="11"/>
  <c r="F139" i="11" s="1"/>
  <c r="H138" i="11"/>
  <c r="E138" i="11"/>
  <c r="F138" i="11" s="1"/>
  <c r="H137" i="11"/>
  <c r="E137" i="11"/>
  <c r="F137" i="11" s="1"/>
  <c r="H136" i="11"/>
  <c r="E136" i="11"/>
  <c r="F136" i="11" s="1"/>
  <c r="H135" i="11"/>
  <c r="E135" i="11"/>
  <c r="F135" i="11" s="1"/>
  <c r="H130" i="11"/>
  <c r="E130" i="11"/>
  <c r="F130" i="11" s="1"/>
  <c r="H129" i="11"/>
  <c r="E129" i="11"/>
  <c r="F129" i="11" s="1"/>
  <c r="H128" i="11"/>
  <c r="E128" i="11"/>
  <c r="F128" i="11" s="1"/>
  <c r="H127" i="11"/>
  <c r="E127" i="11"/>
  <c r="F127" i="11" s="1"/>
  <c r="H126" i="11"/>
  <c r="E126" i="11"/>
  <c r="F126" i="11" s="1"/>
  <c r="H125" i="11"/>
  <c r="E125" i="11"/>
  <c r="F125" i="11" s="1"/>
  <c r="H120" i="11"/>
  <c r="E120" i="11"/>
  <c r="F120" i="11" s="1"/>
  <c r="H119" i="11"/>
  <c r="E119" i="11"/>
  <c r="F119" i="11" s="1"/>
  <c r="H118" i="11"/>
  <c r="E118" i="11"/>
  <c r="F118" i="11" s="1"/>
  <c r="H117" i="11"/>
  <c r="E117" i="11"/>
  <c r="F117" i="11" s="1"/>
  <c r="H116" i="11"/>
  <c r="E116" i="11"/>
  <c r="F116" i="11" s="1"/>
  <c r="H115" i="11"/>
  <c r="E115" i="11"/>
  <c r="F115" i="11" s="1"/>
  <c r="H110" i="11"/>
  <c r="E110" i="11"/>
  <c r="F110" i="11" s="1"/>
  <c r="H109" i="11"/>
  <c r="E109" i="11"/>
  <c r="F109" i="11" s="1"/>
  <c r="H108" i="11"/>
  <c r="E108" i="11"/>
  <c r="F108" i="11" s="1"/>
  <c r="H107" i="11"/>
  <c r="E107" i="11"/>
  <c r="F107" i="11" s="1"/>
  <c r="H106" i="11"/>
  <c r="E106" i="11"/>
  <c r="F106" i="11" s="1"/>
  <c r="H105" i="11"/>
  <c r="E105" i="11"/>
  <c r="F105" i="11" s="1"/>
  <c r="H100" i="11"/>
  <c r="E100" i="11"/>
  <c r="F100" i="11" s="1"/>
  <c r="H99" i="11"/>
  <c r="E99" i="11"/>
  <c r="F99" i="11" s="1"/>
  <c r="H98" i="11"/>
  <c r="E98" i="11"/>
  <c r="F98" i="11" s="1"/>
  <c r="H97" i="11"/>
  <c r="E97" i="11"/>
  <c r="F97" i="11" s="1"/>
  <c r="H96" i="11"/>
  <c r="E96" i="11"/>
  <c r="F96" i="11" s="1"/>
  <c r="H95" i="11"/>
  <c r="E95" i="11"/>
  <c r="F95" i="11" s="1"/>
  <c r="H90" i="11"/>
  <c r="E90" i="11"/>
  <c r="F90" i="11" s="1"/>
  <c r="H89" i="11"/>
  <c r="E89" i="11"/>
  <c r="F89" i="11" s="1"/>
  <c r="H88" i="11"/>
  <c r="E88" i="11"/>
  <c r="F88" i="11" s="1"/>
  <c r="H87" i="11"/>
  <c r="E87" i="11"/>
  <c r="F87" i="11" s="1"/>
  <c r="H86" i="11"/>
  <c r="E86" i="11"/>
  <c r="F86" i="11" s="1"/>
  <c r="H85" i="11"/>
  <c r="E85" i="11"/>
  <c r="F85" i="11" s="1"/>
  <c r="H80" i="11"/>
  <c r="E80" i="11"/>
  <c r="F80" i="11" s="1"/>
  <c r="H79" i="11"/>
  <c r="E79" i="11"/>
  <c r="F79" i="11" s="1"/>
  <c r="H78" i="11"/>
  <c r="E78" i="11"/>
  <c r="F78" i="11" s="1"/>
  <c r="H77" i="11"/>
  <c r="E77" i="11"/>
  <c r="F77" i="11" s="1"/>
  <c r="H76" i="11"/>
  <c r="E76" i="11"/>
  <c r="F76" i="11" s="1"/>
  <c r="H75" i="11"/>
  <c r="E75" i="11"/>
  <c r="F75" i="11" s="1"/>
  <c r="H70" i="11"/>
  <c r="H69" i="11"/>
  <c r="H68" i="11"/>
  <c r="H67" i="11"/>
  <c r="H66" i="11"/>
  <c r="H65" i="11"/>
  <c r="H60" i="11"/>
  <c r="E60" i="11"/>
  <c r="F60" i="11" s="1"/>
  <c r="H59" i="11"/>
  <c r="E59" i="11"/>
  <c r="F59" i="11" s="1"/>
  <c r="H58" i="11"/>
  <c r="E58" i="11"/>
  <c r="F58" i="11" s="1"/>
  <c r="H57" i="11"/>
  <c r="E57" i="11"/>
  <c r="F57" i="11" s="1"/>
  <c r="H56" i="11"/>
  <c r="E56" i="11"/>
  <c r="F56" i="11" s="1"/>
  <c r="H55" i="11"/>
  <c r="E55" i="11"/>
  <c r="F55" i="11" s="1"/>
  <c r="H50" i="11"/>
  <c r="E50" i="11"/>
  <c r="F50" i="11" s="1"/>
  <c r="H49" i="11"/>
  <c r="E49" i="11"/>
  <c r="F49" i="11" s="1"/>
  <c r="H48" i="11"/>
  <c r="E48" i="11"/>
  <c r="F48" i="11" s="1"/>
  <c r="H47" i="11"/>
  <c r="E47" i="11"/>
  <c r="F47" i="11" s="1"/>
  <c r="H46" i="11"/>
  <c r="E46" i="11"/>
  <c r="F46" i="11" s="1"/>
  <c r="H45" i="11"/>
  <c r="E45" i="11"/>
  <c r="F45" i="11" s="1"/>
  <c r="H40" i="11"/>
  <c r="E40" i="11"/>
  <c r="F40" i="11" s="1"/>
  <c r="H39" i="11"/>
  <c r="E39" i="11"/>
  <c r="F39" i="11" s="1"/>
  <c r="H38" i="11"/>
  <c r="E38" i="11"/>
  <c r="F38" i="11" s="1"/>
  <c r="H37" i="11"/>
  <c r="E37" i="11"/>
  <c r="F37" i="11" s="1"/>
  <c r="H36" i="11"/>
  <c r="E36" i="11"/>
  <c r="F36" i="11" s="1"/>
  <c r="H35" i="11"/>
  <c r="E35" i="11"/>
  <c r="F35" i="11" s="1"/>
  <c r="H30" i="11"/>
  <c r="E30" i="11"/>
  <c r="F30" i="11" s="1"/>
  <c r="H29" i="11"/>
  <c r="E29" i="11"/>
  <c r="F29" i="11" s="1"/>
  <c r="H28" i="11"/>
  <c r="E28" i="11"/>
  <c r="F28" i="11" s="1"/>
  <c r="H27" i="11"/>
  <c r="E27" i="11"/>
  <c r="F27" i="11" s="1"/>
  <c r="H26" i="11"/>
  <c r="E26" i="11"/>
  <c r="F26" i="11" s="1"/>
  <c r="H25" i="11"/>
  <c r="E25" i="11"/>
  <c r="F25" i="11" s="1"/>
  <c r="E20" i="11"/>
  <c r="F20" i="11" s="1"/>
  <c r="E19" i="11"/>
  <c r="F19" i="11" s="1"/>
  <c r="E15" i="11"/>
  <c r="F15" i="11" s="1"/>
  <c r="H20" i="11"/>
  <c r="H19" i="11"/>
  <c r="H18" i="11"/>
  <c r="E18" i="11"/>
  <c r="F18" i="11" s="1"/>
  <c r="H17" i="11"/>
  <c r="E17" i="11"/>
  <c r="F17" i="11" s="1"/>
  <c r="H16" i="11"/>
  <c r="E16" i="11"/>
  <c r="F16" i="11" s="1"/>
  <c r="H15" i="11"/>
  <c r="E10" i="11"/>
  <c r="F10" i="11" s="1"/>
  <c r="E6" i="11"/>
  <c r="F6" i="11" s="1"/>
  <c r="E5" i="11"/>
  <c r="F5" i="11" s="1"/>
  <c r="E7" i="11"/>
  <c r="F7" i="11" s="1"/>
  <c r="E8" i="11"/>
  <c r="F8" i="11" s="1"/>
  <c r="E9" i="11"/>
  <c r="F9" i="11" s="1"/>
  <c r="H5" i="11"/>
  <c r="H6" i="11"/>
  <c r="H7" i="11"/>
  <c r="H8" i="11"/>
  <c r="H9" i="11"/>
  <c r="H10" i="11"/>
  <c r="E167" i="10" l="1"/>
  <c r="E185" i="10"/>
  <c r="E184" i="10"/>
  <c r="E183" i="10"/>
  <c r="E182" i="10"/>
  <c r="E181" i="10"/>
  <c r="E180" i="10"/>
  <c r="E139" i="10"/>
  <c r="E130" i="10"/>
  <c r="E28" i="10"/>
  <c r="E175" i="10"/>
  <c r="E174" i="10"/>
  <c r="E173" i="10"/>
  <c r="E172" i="10"/>
  <c r="E171" i="10"/>
  <c r="E170" i="10"/>
  <c r="E166" i="10"/>
  <c r="E165" i="10"/>
  <c r="E164" i="10"/>
  <c r="E163" i="10"/>
  <c r="E162" i="10"/>
  <c r="E161" i="10"/>
  <c r="E157" i="10"/>
  <c r="E156" i="10"/>
  <c r="E155" i="10"/>
  <c r="E154" i="10"/>
  <c r="E153" i="10"/>
  <c r="E152" i="10"/>
  <c r="E148" i="10"/>
  <c r="E147" i="10"/>
  <c r="E146" i="10"/>
  <c r="E145" i="10"/>
  <c r="E144" i="10"/>
  <c r="E143" i="10"/>
  <c r="E138" i="10"/>
  <c r="E137" i="10"/>
  <c r="E136" i="10"/>
  <c r="E135" i="10"/>
  <c r="E131" i="10"/>
  <c r="E129" i="10"/>
  <c r="E128" i="10"/>
  <c r="E125" i="10"/>
  <c r="E124" i="10"/>
  <c r="E123" i="10"/>
  <c r="E117" i="10"/>
  <c r="E116" i="10"/>
  <c r="E115" i="10"/>
  <c r="E114" i="10"/>
  <c r="E113" i="10"/>
  <c r="E112" i="10"/>
  <c r="E109" i="10"/>
  <c r="E108" i="10"/>
  <c r="E107" i="10"/>
  <c r="E106" i="10"/>
  <c r="E105" i="10"/>
  <c r="E104" i="10"/>
  <c r="E103" i="10"/>
  <c r="E99" i="10"/>
  <c r="E98" i="10"/>
  <c r="E97" i="10"/>
  <c r="E96" i="10"/>
  <c r="E95" i="10"/>
  <c r="E94" i="10"/>
  <c r="E90" i="10"/>
  <c r="E89" i="10"/>
  <c r="E88" i="10"/>
  <c r="E87" i="10"/>
  <c r="E86" i="10"/>
  <c r="E85" i="10"/>
  <c r="E81" i="10"/>
  <c r="E80" i="10"/>
  <c r="E79" i="10"/>
  <c r="E78" i="10"/>
  <c r="E77" i="10"/>
  <c r="E73" i="10"/>
  <c r="E72" i="10"/>
  <c r="E71" i="10"/>
  <c r="E65" i="10"/>
  <c r="E64" i="10"/>
  <c r="E63" i="10"/>
  <c r="E62" i="10"/>
  <c r="E61" i="10"/>
  <c r="E60" i="10"/>
  <c r="E55" i="10"/>
  <c r="E54" i="10"/>
  <c r="E53" i="10"/>
  <c r="E52" i="10"/>
  <c r="E51" i="10"/>
  <c r="E50" i="10"/>
  <c r="E46" i="10"/>
  <c r="E45" i="10"/>
  <c r="E44" i="10"/>
  <c r="E43" i="10"/>
  <c r="E42" i="10"/>
  <c r="E41" i="10"/>
  <c r="E37" i="10"/>
  <c r="E36" i="10"/>
  <c r="E35" i="10"/>
  <c r="E34" i="10"/>
  <c r="E33" i="10"/>
  <c r="E32" i="10"/>
  <c r="E27" i="10"/>
  <c r="E26" i="10"/>
  <c r="E25" i="10"/>
  <c r="E24" i="10"/>
  <c r="E23" i="10"/>
  <c r="E18" i="10"/>
  <c r="E17" i="10"/>
  <c r="E16" i="10"/>
  <c r="E15" i="10"/>
  <c r="E14" i="10"/>
  <c r="E8" i="10"/>
  <c r="E7" i="10"/>
  <c r="E6" i="10"/>
  <c r="E5" i="10"/>
  <c r="E197" i="9"/>
  <c r="E198" i="9"/>
  <c r="E188" i="9"/>
  <c r="E189" i="9"/>
  <c r="E182" i="9"/>
  <c r="E236" i="9"/>
  <c r="E235" i="9"/>
  <c r="E234" i="9"/>
  <c r="E233" i="9"/>
  <c r="E232" i="9"/>
  <c r="E231" i="9"/>
  <c r="E227" i="9"/>
  <c r="E226" i="9"/>
  <c r="E225" i="9"/>
  <c r="E224" i="9"/>
  <c r="E223" i="9"/>
  <c r="E222" i="9"/>
  <c r="E219" i="9"/>
  <c r="E218" i="9"/>
  <c r="E217" i="9"/>
  <c r="E216" i="9"/>
  <c r="E215" i="9"/>
  <c r="E214" i="9"/>
  <c r="E213" i="9"/>
  <c r="E209" i="9"/>
  <c r="E208" i="9"/>
  <c r="E207" i="9"/>
  <c r="E206" i="9"/>
  <c r="E205" i="9"/>
  <c r="E204" i="9"/>
  <c r="E196" i="9"/>
  <c r="E195" i="9"/>
  <c r="E194" i="9"/>
  <c r="E187" i="9"/>
  <c r="E186" i="9"/>
  <c r="E183" i="9"/>
  <c r="E181" i="9"/>
  <c r="E180" i="9"/>
  <c r="E174" i="9"/>
  <c r="E173" i="9"/>
  <c r="E172" i="9"/>
  <c r="E171" i="9"/>
  <c r="E170" i="9"/>
  <c r="E169" i="9"/>
  <c r="E156" i="9"/>
  <c r="E164" i="9"/>
  <c r="E165" i="9"/>
  <c r="E144" i="9"/>
  <c r="E145" i="9"/>
  <c r="E109" i="9"/>
  <c r="E80" i="9"/>
  <c r="E65" i="9"/>
  <c r="E53" i="9"/>
  <c r="E54" i="9"/>
  <c r="E57" i="9"/>
  <c r="E44" i="9"/>
  <c r="E45" i="9"/>
  <c r="E35" i="9"/>
  <c r="E34" i="9"/>
  <c r="E25" i="9"/>
  <c r="E26" i="9"/>
  <c r="E17" i="9"/>
  <c r="E18" i="9"/>
  <c r="E9" i="9"/>
  <c r="E8" i="9"/>
  <c r="E7" i="9"/>
  <c r="E163" i="9"/>
  <c r="E162" i="9"/>
  <c r="E161" i="9"/>
  <c r="E160" i="9"/>
  <c r="E157" i="9"/>
  <c r="E155" i="9"/>
  <c r="E154" i="9"/>
  <c r="E153" i="9"/>
  <c r="E152" i="9"/>
  <c r="E151" i="9"/>
  <c r="E147" i="9"/>
  <c r="E146" i="9"/>
  <c r="E143" i="9"/>
  <c r="E142" i="9"/>
  <c r="E137" i="9"/>
  <c r="E136" i="9"/>
  <c r="E135" i="9"/>
  <c r="E134" i="9"/>
  <c r="E130" i="9"/>
  <c r="E129" i="9"/>
  <c r="E128" i="9"/>
  <c r="E125" i="9"/>
  <c r="E124" i="9"/>
  <c r="E123" i="9"/>
  <c r="E117" i="9"/>
  <c r="E116" i="9"/>
  <c r="E115" i="9"/>
  <c r="E114" i="9"/>
  <c r="E113" i="9"/>
  <c r="E112" i="9"/>
  <c r="E108" i="9"/>
  <c r="E107" i="9"/>
  <c r="E106" i="9"/>
  <c r="E105" i="9"/>
  <c r="E104" i="9"/>
  <c r="E103" i="9"/>
  <c r="E99" i="9"/>
  <c r="E98" i="9"/>
  <c r="E97" i="9"/>
  <c r="E96" i="9"/>
  <c r="E95" i="9"/>
  <c r="E94" i="9"/>
  <c r="E90" i="9"/>
  <c r="E89" i="9"/>
  <c r="E88" i="9"/>
  <c r="E87" i="9"/>
  <c r="E86" i="9"/>
  <c r="E85" i="9"/>
  <c r="E81" i="9"/>
  <c r="E79" i="9"/>
  <c r="E78" i="9"/>
  <c r="E77" i="9"/>
  <c r="E73" i="9"/>
  <c r="E72" i="9"/>
  <c r="E71" i="9"/>
  <c r="E64" i="9"/>
  <c r="E63" i="9"/>
  <c r="E62" i="9"/>
  <c r="E61" i="9"/>
  <c r="E60" i="9"/>
  <c r="E55" i="9"/>
  <c r="E52" i="9"/>
  <c r="E51" i="9"/>
  <c r="E50" i="9"/>
  <c r="E46" i="9"/>
  <c r="E43" i="9"/>
  <c r="E42" i="9"/>
  <c r="E41" i="9"/>
  <c r="E37" i="9"/>
  <c r="E36" i="9"/>
  <c r="E33" i="9"/>
  <c r="E32" i="9"/>
  <c r="E27" i="9"/>
  <c r="E24" i="9"/>
  <c r="E23" i="9"/>
  <c r="E16" i="9"/>
  <c r="E15" i="9"/>
  <c r="E14" i="9"/>
  <c r="E6" i="9"/>
  <c r="E5" i="9"/>
  <c r="E76" i="8" l="1"/>
  <c r="E75" i="8"/>
  <c r="E98" i="8"/>
  <c r="E99" i="8"/>
  <c r="E100" i="8"/>
  <c r="E101" i="8"/>
  <c r="E102" i="8"/>
  <c r="E103" i="8"/>
  <c r="E89" i="8"/>
  <c r="E90" i="8"/>
  <c r="E91" i="8"/>
  <c r="E92" i="8"/>
  <c r="E93" i="8"/>
  <c r="E94" i="8"/>
  <c r="E85" i="8"/>
  <c r="E84" i="8"/>
  <c r="E80" i="8"/>
  <c r="E81" i="8"/>
  <c r="E82" i="8"/>
  <c r="E83" i="8"/>
  <c r="E72" i="8"/>
  <c r="E73" i="8"/>
  <c r="E74" i="8"/>
  <c r="E71" i="8"/>
  <c r="E64" i="8"/>
  <c r="E65" i="8"/>
  <c r="E66" i="8"/>
  <c r="E67" i="8"/>
  <c r="E58" i="8"/>
  <c r="E59" i="8"/>
  <c r="E60" i="8"/>
  <c r="E188" i="8" l="1"/>
  <c r="E187" i="8"/>
  <c r="E186" i="8"/>
  <c r="E185" i="8"/>
  <c r="E184" i="8"/>
  <c r="E180" i="8"/>
  <c r="E179" i="8"/>
  <c r="E178" i="8"/>
  <c r="E177" i="8"/>
  <c r="E176" i="8"/>
  <c r="E172" i="8"/>
  <c r="E171" i="8"/>
  <c r="E170" i="8"/>
  <c r="E169" i="8"/>
  <c r="E165" i="8"/>
  <c r="E164" i="8"/>
  <c r="E163" i="8"/>
  <c r="E162" i="8"/>
  <c r="E158" i="8"/>
  <c r="E157" i="8"/>
  <c r="E156" i="8"/>
  <c r="E152" i="8"/>
  <c r="E151" i="8"/>
  <c r="E39" i="8" l="1"/>
  <c r="E40" i="8"/>
  <c r="E41" i="8"/>
  <c r="E42" i="8"/>
  <c r="E43" i="8"/>
  <c r="E47" i="8"/>
  <c r="E48" i="8"/>
  <c r="E49" i="8"/>
  <c r="E50" i="8"/>
  <c r="E51" i="8"/>
  <c r="E32" i="8"/>
  <c r="E33" i="8"/>
  <c r="E34" i="8"/>
  <c r="E35" i="8"/>
  <c r="E26" i="8"/>
  <c r="E27" i="8"/>
  <c r="E28" i="8"/>
  <c r="E25" i="8"/>
  <c r="E20" i="8"/>
  <c r="E18" i="8"/>
  <c r="E19" i="8"/>
  <c r="E21" i="8"/>
  <c r="E12" i="8"/>
  <c r="E13" i="8"/>
  <c r="E11" i="8"/>
  <c r="E6" i="8"/>
  <c r="E5" i="8"/>
  <c r="E109" i="8"/>
  <c r="E122" i="8"/>
  <c r="E115" i="8"/>
  <c r="E145" i="8" l="1"/>
  <c r="E144" i="8"/>
  <c r="E143" i="8"/>
  <c r="E142" i="8"/>
  <c r="E141" i="8"/>
  <c r="E138" i="8"/>
  <c r="E137" i="8"/>
  <c r="E136" i="8"/>
  <c r="E135" i="8"/>
  <c r="E134" i="8"/>
  <c r="E133" i="8"/>
  <c r="E130" i="8"/>
  <c r="E129" i="8"/>
  <c r="E128" i="8"/>
  <c r="E127" i="8"/>
  <c r="E126" i="8"/>
  <c r="E121" i="8"/>
  <c r="E120" i="8"/>
  <c r="E119" i="8"/>
  <c r="E114" i="8"/>
  <c r="E113" i="8"/>
  <c r="E110" i="8"/>
  <c r="E108" i="8"/>
  <c r="E202" i="6" l="1"/>
  <c r="E156" i="6"/>
  <c r="E201" i="6"/>
  <c r="E175" i="6"/>
  <c r="E157" i="6"/>
  <c r="E149" i="6"/>
  <c r="E130" i="6"/>
  <c r="E102" i="6"/>
  <c r="E72" i="6"/>
  <c r="E59" i="6"/>
  <c r="E28" i="6"/>
  <c r="E14" i="6"/>
  <c r="E137" i="6"/>
  <c r="E136" i="6"/>
  <c r="E135" i="6"/>
  <c r="E134" i="6"/>
  <c r="E133" i="6"/>
  <c r="E94" i="6"/>
  <c r="E93" i="6"/>
  <c r="E92" i="6"/>
  <c r="E91" i="6"/>
  <c r="E90" i="6"/>
  <c r="E50" i="6"/>
  <c r="E49" i="6"/>
  <c r="E48" i="6"/>
  <c r="E47" i="6"/>
  <c r="E46" i="6"/>
  <c r="E208" i="6" l="1"/>
  <c r="E207" i="6"/>
  <c r="E206" i="6"/>
  <c r="E205" i="6"/>
  <c r="E204" i="6"/>
  <c r="E200" i="6"/>
  <c r="E199" i="6"/>
  <c r="E198" i="6"/>
  <c r="E197" i="6"/>
  <c r="E196" i="6"/>
  <c r="E191" i="6"/>
  <c r="E190" i="6"/>
  <c r="E189" i="6"/>
  <c r="E188" i="6"/>
  <c r="E187" i="6"/>
  <c r="E147" i="6"/>
  <c r="E182" i="6"/>
  <c r="E181" i="6"/>
  <c r="E180" i="6"/>
  <c r="E179" i="6"/>
  <c r="E178" i="6"/>
  <c r="E174" i="6"/>
  <c r="E173" i="6"/>
  <c r="E172" i="6"/>
  <c r="E171" i="6"/>
  <c r="E170" i="6"/>
  <c r="E164" i="6"/>
  <c r="E163" i="6"/>
  <c r="E162" i="6"/>
  <c r="E161" i="6"/>
  <c r="E160" i="6"/>
  <c r="E155" i="6"/>
  <c r="E154" i="6"/>
  <c r="E153" i="6"/>
  <c r="E152" i="6"/>
  <c r="E148" i="6"/>
  <c r="E146" i="6"/>
  <c r="E145" i="6"/>
  <c r="E144" i="6"/>
  <c r="E129" i="6"/>
  <c r="E122" i="6"/>
  <c r="E128" i="6"/>
  <c r="E127" i="6"/>
  <c r="E126" i="6"/>
  <c r="E125" i="6"/>
  <c r="E100" i="6"/>
  <c r="E86" i="6"/>
  <c r="E79" i="6"/>
  <c r="E85" i="6"/>
  <c r="E84" i="6"/>
  <c r="E83" i="6"/>
  <c r="E82" i="6"/>
  <c r="E42" i="6"/>
  <c r="E35" i="6"/>
  <c r="E41" i="6"/>
  <c r="E40" i="6"/>
  <c r="E39" i="6"/>
  <c r="E38" i="6"/>
  <c r="E121" i="6" l="1"/>
  <c r="E120" i="6"/>
  <c r="E119" i="6"/>
  <c r="E118" i="6"/>
  <c r="E113" i="6"/>
  <c r="E112" i="6"/>
  <c r="E111" i="6"/>
  <c r="E106" i="6"/>
  <c r="E105" i="6"/>
  <c r="E58" i="6"/>
  <c r="E57" i="6"/>
  <c r="E62" i="6"/>
  <c r="E63" i="6"/>
  <c r="E78" i="6"/>
  <c r="E77" i="6"/>
  <c r="E76" i="6"/>
  <c r="E75" i="6"/>
  <c r="E71" i="6"/>
  <c r="E70" i="6"/>
  <c r="E69" i="6"/>
  <c r="E68" i="6"/>
  <c r="E34" i="6"/>
  <c r="E33" i="6"/>
  <c r="E32" i="6"/>
  <c r="E31" i="6"/>
  <c r="E27" i="6"/>
  <c r="E26" i="6"/>
  <c r="E25" i="6"/>
  <c r="E24" i="6"/>
  <c r="E20" i="6"/>
  <c r="E19" i="6"/>
  <c r="E18" i="6"/>
  <c r="E17" i="6"/>
  <c r="E12" i="6"/>
  <c r="E11" i="6"/>
  <c r="E7" i="6"/>
  <c r="E10" i="6"/>
  <c r="E4" i="6"/>
  <c r="E5" i="6"/>
</calcChain>
</file>

<file path=xl/sharedStrings.xml><?xml version="1.0" encoding="utf-8"?>
<sst xmlns="http://schemas.openxmlformats.org/spreadsheetml/2006/main" count="2291" uniqueCount="310">
  <si>
    <t>I</t>
    <phoneticPr fontId="2" type="noConversion"/>
  </si>
  <si>
    <t>Sequence</t>
    <phoneticPr fontId="2" type="noConversion"/>
  </si>
  <si>
    <t>PicType</t>
    <phoneticPr fontId="2" type="noConversion"/>
  </si>
  <si>
    <t>rush_hour.yuv</t>
    <phoneticPr fontId="2" type="noConversion"/>
  </si>
  <si>
    <t>HEVC:400MHz ( 3840x2160 )</t>
    <phoneticPr fontId="2" type="noConversion"/>
  </si>
  <si>
    <t>BW (MB)</t>
    <phoneticPr fontId="2" type="noConversion"/>
  </si>
  <si>
    <t>Core Cyc#/Frame</t>
    <phoneticPr fontId="2" type="noConversion"/>
  </si>
  <si>
    <t>Cpu Cyc#/Frame</t>
    <phoneticPr fontId="2" type="noConversion"/>
  </si>
  <si>
    <t>Target Freq. （ for 4K@30fps )</t>
    <phoneticPr fontId="2" type="noConversion"/>
  </si>
  <si>
    <t>P</t>
    <phoneticPr fontId="2" type="noConversion"/>
  </si>
  <si>
    <t>B</t>
    <phoneticPr fontId="2" type="noConversion"/>
  </si>
  <si>
    <t>B</t>
    <phoneticPr fontId="2" type="noConversion"/>
  </si>
  <si>
    <t>P</t>
    <phoneticPr fontId="2" type="noConversion"/>
  </si>
  <si>
    <t>B</t>
    <phoneticPr fontId="2" type="noConversion"/>
  </si>
  <si>
    <t>HEVC:400MHz ( 3840x2160 ), CU8X8_OFF,CU16x16_ON,CU32x32_ON,SAO_ON,IntraNxN_ON</t>
    <phoneticPr fontId="2" type="noConversion"/>
  </si>
  <si>
    <t>HEVC_EnC  CU_Size(8X8/16X16/32X32) / IntraNxN, SAO Feature peformance</t>
    <phoneticPr fontId="2" type="noConversion"/>
  </si>
  <si>
    <t>HEVC:400MHz ( 3840x2160 ), CU8X8_ON,CU16x16_OFF,CU32x32_ON,SAO_ON,IntraNxN_ON</t>
    <phoneticPr fontId="2" type="noConversion"/>
  </si>
  <si>
    <t>HEVC:400MHz ( 3840x2160 ), CU8X8_ON,CU16x16_ON,CU32x32_OFF,SAO_ON,IntraNxN_ON</t>
    <phoneticPr fontId="2" type="noConversion"/>
  </si>
  <si>
    <t>HEVC:400MHz ( 3840x2160 ), CU8X8_ON,CU16x16_ON,CU32x32_ON,SAO_OFF,IntraNxN_ON</t>
    <phoneticPr fontId="2" type="noConversion"/>
  </si>
  <si>
    <t>HEVC:400MHz ( 3840x2160 ), CU8X8_ON,CU16x16_ON,CU32x32_ON,SAO_ON,IntraNxN_OFF</t>
    <phoneticPr fontId="2" type="noConversion"/>
  </si>
  <si>
    <t>HEVC:400MHz ( 3840x2160 ), CU8X8_OFF,CU16x16_OFF,CU32x32_ON,SAO_ON,IntraNxN_ON</t>
    <phoneticPr fontId="2" type="noConversion"/>
  </si>
  <si>
    <t>HEVC:400MHz ( 3840x2160 ), CU8X8_OFF,CU16x16_OFF,CU32x32_ON,SAO_ON,IntraNxN_OFF</t>
    <phoneticPr fontId="2" type="noConversion"/>
  </si>
  <si>
    <t>HEVC:400MHz ( 3840x2160 ), Encoder Parameter Fast_Mode(high encoding speed, low picture quality)</t>
    <phoneticPr fontId="2" type="noConversion"/>
  </si>
  <si>
    <t>GOP:IPBPBP, DDR4_16bit WO ECC @ 125MHz(DDR4-500), NOC@600MHz</t>
    <phoneticPr fontId="2" type="noConversion"/>
  </si>
  <si>
    <t>GOP:IPBPBP, DDR4_16bit WO ECC @ 150MHz(DDR4-600), NOC@600MHz</t>
    <phoneticPr fontId="2" type="noConversion"/>
  </si>
  <si>
    <t>GOP:IPBPBP, DDR4_16bit WO ECC @ 200MHz(DDR4-800), NOC@600MHz</t>
    <phoneticPr fontId="2" type="noConversion"/>
  </si>
  <si>
    <t>GOP:IPBPBP, DDR4_16bit WO ECC @ 250MHz(DDR4-1000), NOC@600MHz</t>
    <phoneticPr fontId="2" type="noConversion"/>
  </si>
  <si>
    <t>GOP:IPBPBP, DDR4_16bit WO ECC @ 300MHz(DDR4-1200), NOC@600MHz</t>
    <phoneticPr fontId="2" type="noConversion"/>
  </si>
  <si>
    <t>GOP:IPBPBP, DDR4_16bit WO ECC @ 400MHz(DDR4-1600), NOC@600MHz</t>
    <phoneticPr fontId="2" type="noConversion"/>
  </si>
  <si>
    <t>GOP:IPBPBP, DDR4_16bit WO ECC @ 350MHz(DDR4-1400), NOC@600MHz</t>
    <phoneticPr fontId="2" type="noConversion"/>
  </si>
  <si>
    <t>GOP:IPBPBP, DDR4_32bit WO ECC @ 65MHz(DDR4-260), NOC@600MHz</t>
    <phoneticPr fontId="2" type="noConversion"/>
  </si>
  <si>
    <t>GOP:IPBPBP, DDR4_32bit WO ECC @ 100MHz(DDR4-400), NOC@600MHz</t>
    <phoneticPr fontId="2" type="noConversion"/>
  </si>
  <si>
    <t>GOP:IPBPBP, DDR4_32bit WO ECC @ 150MHz(DDR4-600), NOC@600MHz</t>
    <phoneticPr fontId="2" type="noConversion"/>
  </si>
  <si>
    <t>GOP:IPBPBP, DDR4_32bit WO ECC @ 200MHz(DDR4-800), NOC@600MHz</t>
    <phoneticPr fontId="2" type="noConversion"/>
  </si>
  <si>
    <t>GOP:IPBPBP, DDR4_32bit WO ECC @ 300MHz(DDR4-1200), NOC@600MHz</t>
    <phoneticPr fontId="2" type="noConversion"/>
  </si>
  <si>
    <t>GOP:IPBPBP, DDR4_32bit WO ECC @ 250MHz(DDR4-1000), NOC@600MHz</t>
    <phoneticPr fontId="2" type="noConversion"/>
  </si>
  <si>
    <t>GOP:IPBPBP, DDR4_64bit WO ECC @ 50MHz(DDR4-200), NOC@600MHz</t>
    <phoneticPr fontId="2" type="noConversion"/>
  </si>
  <si>
    <t>GOP:IPBPBP, DDR4_64bit WO ECC @ 75MHz(DDR4-300), NOC@600MHz</t>
    <phoneticPr fontId="2" type="noConversion"/>
  </si>
  <si>
    <t>GOP:IPBPBP, DDR4_64bit WO ECC @ 100MHz(DDR4-400), NOC@600MHz</t>
    <phoneticPr fontId="2" type="noConversion"/>
  </si>
  <si>
    <t>GOP:IPBPBP, DDR4_64bit WO ECC @ 200MHz(DDR4-800), NOC@600MHz</t>
    <phoneticPr fontId="2" type="noConversion"/>
  </si>
  <si>
    <t>GOP:IPBPBP, DDR4_64bit WO ECC @ 300MHz(DDR4-1200), NOC@600MHz</t>
    <phoneticPr fontId="2" type="noConversion"/>
  </si>
  <si>
    <t>GOP:IPBPBP, DDR4_64bit WO ECC @ 250MHz(DDR4-1000), NOC@600MHz</t>
    <phoneticPr fontId="2" type="noConversion"/>
  </si>
  <si>
    <t>DDR4</t>
  </si>
  <si>
    <t>16bit wo ecc</t>
  </si>
  <si>
    <t>32bit wo ecc</t>
  </si>
  <si>
    <t>64bit wo ecc</t>
  </si>
  <si>
    <t>64bit w ecc</t>
  </si>
  <si>
    <t xml:space="preserve">　 </t>
  </si>
  <si>
    <t>About DDR-1200( Controller 300MHz ) without B_Frames
About DDR-1600( Controller 400MHz ) with B_Frames</t>
    <phoneticPr fontId="2" type="noConversion"/>
  </si>
  <si>
    <t>About DDR-1000( Controller 250MHz ) without B_Frames
About DDR-1200( Controller 300MHz ) with B_Frames</t>
    <phoneticPr fontId="2" type="noConversion"/>
  </si>
  <si>
    <t>Features</t>
  </si>
  <si>
    <t>I Perf</t>
  </si>
  <si>
    <t>P Perf</t>
  </si>
  <si>
    <t>B Perf</t>
  </si>
  <si>
    <t>All on</t>
  </si>
  <si>
    <t>CU8x8 OFF</t>
  </si>
  <si>
    <t>Under enough ddr bandwidth (DDR4_64bit_wo_ECC   DDR4-1200(DDR_Ctrl@300MHz))</t>
    <phoneticPr fontId="2" type="noConversion"/>
  </si>
  <si>
    <t>372MHz</t>
    <phoneticPr fontId="2" type="noConversion"/>
  </si>
  <si>
    <t>400MHz</t>
    <phoneticPr fontId="2" type="noConversion"/>
  </si>
  <si>
    <t>425MHz</t>
    <phoneticPr fontId="2" type="noConversion"/>
  </si>
  <si>
    <t>353MHz</t>
    <phoneticPr fontId="2" type="noConversion"/>
  </si>
  <si>
    <t>365MHz</t>
    <phoneticPr fontId="2" type="noConversion"/>
  </si>
  <si>
    <t>385MHz</t>
    <phoneticPr fontId="2" type="noConversion"/>
  </si>
  <si>
    <t>CU16x16 OFF</t>
    <phoneticPr fontId="2" type="noConversion"/>
  </si>
  <si>
    <t>CU32x32_OFF</t>
    <phoneticPr fontId="2" type="noConversion"/>
  </si>
  <si>
    <t>INTRA_NxN OFF</t>
    <phoneticPr fontId="2" type="noConversion"/>
  </si>
  <si>
    <t>377MHz</t>
    <phoneticPr fontId="2" type="noConversion"/>
  </si>
  <si>
    <t>410MHz</t>
    <phoneticPr fontId="2" type="noConversion"/>
  </si>
  <si>
    <t>388MHz</t>
    <phoneticPr fontId="2" type="noConversion"/>
  </si>
  <si>
    <t>396MHz</t>
    <phoneticPr fontId="2" type="noConversion"/>
  </si>
  <si>
    <t>398MHz</t>
    <phoneticPr fontId="2" type="noConversion"/>
  </si>
  <si>
    <t>328MHz</t>
    <phoneticPr fontId="2" type="noConversion"/>
  </si>
  <si>
    <t>355MHz</t>
    <phoneticPr fontId="2" type="noConversion"/>
  </si>
  <si>
    <t>378MHz</t>
    <phoneticPr fontId="2" type="noConversion"/>
  </si>
  <si>
    <t>CU8x8 OFF&amp;CU16x16 OFF&amp;
INTRA_NxN OFF</t>
    <phoneticPr fontId="2" type="noConversion"/>
  </si>
  <si>
    <t>350MHz</t>
    <phoneticPr fontId="2" type="noConversion"/>
  </si>
  <si>
    <t>384MHz</t>
    <phoneticPr fontId="2" type="noConversion"/>
  </si>
  <si>
    <t>396MHz</t>
    <phoneticPr fontId="2" type="noConversion"/>
  </si>
  <si>
    <t>372MHz</t>
    <phoneticPr fontId="2" type="noConversion"/>
  </si>
  <si>
    <t>351MHz</t>
    <phoneticPr fontId="2" type="noConversion"/>
  </si>
  <si>
    <t>367MHz</t>
    <phoneticPr fontId="2" type="noConversion"/>
  </si>
  <si>
    <t>Test_Sequence Rush_Hour_3840x2160.yuv (intra_In_inter slice is enable)</t>
    <phoneticPr fontId="2" type="noConversion"/>
  </si>
  <si>
    <t>useRecommendedMode3 reg_set
Fast_Mode(high encoding speed, low picture quality)</t>
    <phoneticPr fontId="2" type="noConversion"/>
  </si>
  <si>
    <t>GOP:IPBPBP, DDR4_64bit With ECC @ 50MHz(DDR4-200), NOC@600MHz</t>
    <phoneticPr fontId="2" type="noConversion"/>
  </si>
  <si>
    <t>GOP:IPBPBP, DDR4_64bit With ECC @ 75MHz(DDR4-300), NOC@600MHz</t>
    <phoneticPr fontId="2" type="noConversion"/>
  </si>
  <si>
    <t>GOP:IPBPBP, DDR4_64bit With ECC @ 100MHz(DDR4-400), NOC@600MHz</t>
    <phoneticPr fontId="2" type="noConversion"/>
  </si>
  <si>
    <t>GOP:IPBPBP, DDR4_64bit With ECC @ 200MHz(DDR4-800), NOC@600MHz</t>
    <phoneticPr fontId="2" type="noConversion"/>
  </si>
  <si>
    <t>GOP:IPBPBP, DDR4_64bit With ECC @ 300MHz(DDR4-1200), NOC@600MHz</t>
    <phoneticPr fontId="2" type="noConversion"/>
  </si>
  <si>
    <t>GOP:IPBPBP, DDR4_64bit With ECC @ 250MHz(DDR4-1000), NOC@600MHz</t>
    <phoneticPr fontId="2" type="noConversion"/>
  </si>
  <si>
    <t>Target Freq. （ for 4K@30fps )</t>
    <phoneticPr fontId="2" type="noConversion"/>
  </si>
  <si>
    <t>DDR4 16/32/64Bit WithOut ECC</t>
    <phoneticPr fontId="2" type="noConversion"/>
  </si>
  <si>
    <t>P</t>
    <phoneticPr fontId="2" type="noConversion"/>
  </si>
  <si>
    <t>B</t>
    <phoneticPr fontId="2" type="noConversion"/>
  </si>
  <si>
    <t xml:space="preserve">B </t>
    <phoneticPr fontId="2" type="noConversion"/>
  </si>
  <si>
    <t>DDR4 64Bit With ECC</t>
    <phoneticPr fontId="2" type="noConversion"/>
  </si>
  <si>
    <t>B</t>
    <phoneticPr fontId="2" type="noConversion"/>
  </si>
  <si>
    <t>P</t>
    <phoneticPr fontId="2" type="noConversion"/>
  </si>
  <si>
    <t>P</t>
    <phoneticPr fontId="2" type="noConversion"/>
  </si>
  <si>
    <t>About DDR-1000( Controller 250MHz ) without B_Frames
About DDR-1200( Controller 300MHz ) with B_Frames</t>
    <phoneticPr fontId="2" type="noConversion"/>
  </si>
  <si>
    <r>
      <t>DDR-800( Controller</t>
    </r>
    <r>
      <rPr>
        <b/>
        <sz val="8"/>
        <color rgb="FFFFFF00"/>
        <rFont val="Arial Unicode MS"/>
        <family val="2"/>
        <charset val="134"/>
      </rPr>
      <t xml:space="preserve"> ~200</t>
    </r>
    <r>
      <rPr>
        <b/>
        <sz val="8"/>
        <color rgb="FF000000"/>
        <rFont val="Arial Unicode MS"/>
        <family val="2"/>
        <charset val="134"/>
      </rPr>
      <t xml:space="preserve">MHz ) without B_Frames
DDR-1000( Controller </t>
    </r>
    <r>
      <rPr>
        <b/>
        <sz val="8"/>
        <color rgb="FFFFFF00"/>
        <rFont val="Arial Unicode MS"/>
        <family val="2"/>
        <charset val="134"/>
      </rPr>
      <t>~250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</si>
  <si>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r>
      <t xml:space="preserve">DDR-1000( Controller </t>
    </r>
    <r>
      <rPr>
        <b/>
        <sz val="8"/>
        <color rgb="FFFFFF00"/>
        <rFont val="Arial Unicode MS"/>
        <family val="2"/>
        <charset val="134"/>
      </rPr>
      <t>~250</t>
    </r>
    <r>
      <rPr>
        <b/>
        <sz val="8"/>
        <color rgb="FF000000"/>
        <rFont val="Arial Unicode MS"/>
        <family val="2"/>
        <charset val="134"/>
      </rPr>
      <t xml:space="preserve">MHz ) without B_Frames
DDR-1400( Controller </t>
    </r>
    <r>
      <rPr>
        <b/>
        <sz val="8"/>
        <color rgb="FFFFFF00"/>
        <rFont val="Arial Unicode MS"/>
        <family val="2"/>
        <charset val="134"/>
      </rPr>
      <t>~350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</si>
  <si>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r>
      <t xml:space="preserve">DDR-800( Controller </t>
    </r>
    <r>
      <rPr>
        <b/>
        <sz val="8"/>
        <color rgb="FFFFFF00"/>
        <rFont val="Arial Unicode MS"/>
        <family val="2"/>
        <charset val="134"/>
      </rPr>
      <t>~200</t>
    </r>
    <r>
      <rPr>
        <b/>
        <sz val="8"/>
        <color rgb="FF000000"/>
        <rFont val="Arial Unicode MS"/>
        <family val="2"/>
        <charset val="134"/>
      </rPr>
      <t xml:space="preserve">MHz ) without B_Frames
DDR-1000( Controller </t>
    </r>
    <r>
      <rPr>
        <b/>
        <sz val="8"/>
        <color rgb="FFFFFF00"/>
        <rFont val="Arial Unicode MS"/>
        <family val="2"/>
        <charset val="134"/>
      </rPr>
      <t>~250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</si>
  <si>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r>
      <t xml:space="preserve">DDR-1200( Controller </t>
    </r>
    <r>
      <rPr>
        <b/>
        <sz val="8"/>
        <color rgb="FFFFFF00"/>
        <rFont val="Arial Unicode MS"/>
        <family val="2"/>
        <charset val="134"/>
      </rPr>
      <t>~300</t>
    </r>
    <r>
      <rPr>
        <b/>
        <sz val="8"/>
        <color rgb="FF000000"/>
        <rFont val="Arial Unicode MS"/>
        <family val="2"/>
        <charset val="134"/>
      </rPr>
      <t xml:space="preserve">MHz ) without B_Frames
DDR-1400( Controller </t>
    </r>
    <r>
      <rPr>
        <b/>
        <sz val="8"/>
        <color rgb="FFFFFF00"/>
        <rFont val="Arial Unicode MS"/>
        <family val="2"/>
        <charset val="134"/>
      </rPr>
      <t>~350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</si>
  <si>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t>LPDDR3</t>
    <phoneticPr fontId="2" type="noConversion"/>
  </si>
  <si>
    <t>DDR3</t>
    <phoneticPr fontId="2" type="noConversion"/>
  </si>
  <si>
    <t>LPDDR3</t>
    <phoneticPr fontId="2" type="noConversion"/>
  </si>
  <si>
    <t>Note: Based on SVN14702 version</t>
    <phoneticPr fontId="2" type="noConversion"/>
  </si>
  <si>
    <t>DDR4 16Bit WithOut ECC</t>
    <phoneticPr fontId="2" type="noConversion"/>
  </si>
  <si>
    <t>DDR4 32Bit WithOut ECC</t>
    <phoneticPr fontId="2" type="noConversion"/>
  </si>
  <si>
    <t>DDR4 64Bit WithOut ECC</t>
    <phoneticPr fontId="2" type="noConversion"/>
  </si>
  <si>
    <t>B</t>
    <phoneticPr fontId="2" type="noConversion"/>
  </si>
  <si>
    <t>P</t>
    <phoneticPr fontId="2" type="noConversion"/>
  </si>
  <si>
    <t>HEVC:Core_Clk@400MHz,BPU_Clk@333MHz ( 3840x2160 )</t>
    <phoneticPr fontId="2" type="noConversion"/>
  </si>
  <si>
    <t>GOP:IPBPBP, DDR4_16bit WO ECC @ 350MHz(DDR4-1400), NOC@600MHz</t>
    <phoneticPr fontId="2" type="noConversion"/>
  </si>
  <si>
    <t>GOP:IPBPBP, DDR4_16bit WO ECC @ 400MHz(DDR4-1600), NOC@600MHz</t>
    <phoneticPr fontId="2" type="noConversion"/>
  </si>
  <si>
    <t>GOP:IPBPBP, DDR4_32bit WO ECC @ 250MHz(DDR4-1000), NOC@600MHz</t>
    <phoneticPr fontId="2" type="noConversion"/>
  </si>
  <si>
    <t>GOP:IPBPBP, DDR4_32bit WO ECC @ 300MHz(DDR4-1200), NOC@600MHz</t>
    <phoneticPr fontId="2" type="noConversion"/>
  </si>
  <si>
    <t>GOP:IPBPBP, DDR4_64bit WO ECC @ 200MHz(DDR4-800), NOC@600MHz</t>
    <phoneticPr fontId="2" type="noConversion"/>
  </si>
  <si>
    <t>GOP:IPBPBP, DDR4_64bit WO ECC @ 150MHz(DDR4-600), NOC@600MHz</t>
    <phoneticPr fontId="2" type="noConversion"/>
  </si>
  <si>
    <t>Sequence</t>
    <phoneticPr fontId="2" type="noConversion"/>
  </si>
  <si>
    <t>GOP:IPBPBP, DDR4_64bit WO ECC @ 300MHz(DDR4-1000), NOC@600MHz</t>
    <phoneticPr fontId="2" type="noConversion"/>
  </si>
  <si>
    <t>DDR4 64Bit WithOut ECC(HEVC_Encoder Try_Addr Map (Row + Bank + Col DDR_Map))</t>
    <phoneticPr fontId="2" type="noConversion"/>
  </si>
  <si>
    <r>
      <t xml:space="preserve">DDR-600( Controller </t>
    </r>
    <r>
      <rPr>
        <b/>
        <sz val="8"/>
        <color rgb="FFFFFF00"/>
        <rFont val="Arial Unicode MS"/>
        <family val="2"/>
        <charset val="134"/>
      </rPr>
      <t>~150</t>
    </r>
    <r>
      <rPr>
        <b/>
        <sz val="8"/>
        <color rgb="FF000000"/>
        <rFont val="Arial Unicode MS"/>
        <family val="2"/>
        <charset val="134"/>
      </rPr>
      <t xml:space="preserve">MHz ) without B_Frames
DDR-800( Controller </t>
    </r>
    <r>
      <rPr>
        <b/>
        <sz val="8"/>
        <color rgb="FFFFFF00"/>
        <rFont val="Arial Unicode MS"/>
        <family val="2"/>
        <charset val="134"/>
      </rPr>
      <t>~200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</si>
  <si>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t>DDR3 16Bit WithOut ECC</t>
    <phoneticPr fontId="2" type="noConversion"/>
  </si>
  <si>
    <t>GOP:IPBPBP, DDR3_16bit WO ECC @ 200MHz(DDR3-800), NOC@600MHz</t>
  </si>
  <si>
    <t>GOP:IPBPBP, DDR3_16bit WO ECC @ 250MHz(DDR3-1000), NOC@600MHz</t>
  </si>
  <si>
    <t>GOP:IPBPBP, DDR3_16bit WO ECC @ 300MHz(DDR3-1200), NOC@600MHz</t>
  </si>
  <si>
    <t>GOP:IPBPBP, DDR3_16bit WO ECC @ 350MHz(DDR3-1400), NOC@600MHz</t>
  </si>
  <si>
    <t>GOP:IPBPBP, DDR3_16bit WO ECC @ 400MHz(DDR3-1600), NOC@600MHz</t>
  </si>
  <si>
    <t>DDR3 32Bit WithOut ECC</t>
  </si>
  <si>
    <t>GOP:IPBPBP, DDR3_32bit WO ECC @ 65MHz(DDR3-260), NOC@600MHz</t>
  </si>
  <si>
    <t>GOP:IPBPBP, DDR3_32bit WO ECC @ 100MHz(DDR3-400), NOC@600MHz</t>
  </si>
  <si>
    <t>GOP:IPBPBP, DDR3_32bit WO ECC @ 150MHz(DDR3-600), NOC@600MHz</t>
  </si>
  <si>
    <t>GOP:IPBPBP, DDR3_32bit WO ECC @ 200MHz(DDR3-800), NOC@600MHz</t>
  </si>
  <si>
    <t>GOP:IPBPBP, DDR3_32bit WO ECC @ 250MHz(DDR3-1000), NOC@600MHz</t>
  </si>
  <si>
    <t>GOP:IPBPBP, DDR3_32bit WO ECC @ 300MHz(DDR3-1200), NOC@600MHz</t>
  </si>
  <si>
    <t>DDR3 64Bit WithOut ECC</t>
  </si>
  <si>
    <t>GOP:IPBPBP, DDR3_64bit WO ECC @ 50MHz(DDR3-200), NOC@600MHz</t>
  </si>
  <si>
    <t>GOP:IPBPBP, DDR3_64bit WO ECC @ 75MHz(DDR3-300), NOC@600MHz</t>
  </si>
  <si>
    <t>GOP:IPBPBP, DDR3_64bit WO ECC @ 100MHz(DDR3-400), NOC@600MHz</t>
  </si>
  <si>
    <t>GOP:IPBPBP, DDR3_64bit WO ECC @ 150MHz(DDR3-600), NOC@600MHz</t>
  </si>
  <si>
    <t>GOP:IPBPBP, DDR3_64bit WO ECC @ 200MHz(DDR3-800), NOC@600MHz</t>
  </si>
  <si>
    <t>GOP:IPBPBP, DDR3_64bit WO ECC @ 250MHz(DDR3-1000), NOC@600MHz</t>
  </si>
  <si>
    <t>GOP:IPBPBP, DDR3_16bit WO ECC @ 125MHz(DDR3-500), NOC@600MHz</t>
  </si>
  <si>
    <t>GOP:IPBPBP, DDR3_16bit WO ECC @ 150MHz(DDR3-600), NOC@600MHz</t>
  </si>
  <si>
    <t>DDR3 64Bit With ECC</t>
  </si>
  <si>
    <t>GOP:IPBPBP, DDR3_64bit With ECC @ 50MHz(DDR3-200), NOC@600MHz</t>
  </si>
  <si>
    <t>GOP:IPBPBP, DDR3_64bit With ECC @ 75MHz(DDR3-300), NOC@600MHz</t>
  </si>
  <si>
    <t>GOP:IPBPBP, DDR3_64bit With ECC @ 100MHz(DDR3-400), NOC@600MHz</t>
  </si>
  <si>
    <t>GOP:IPBPBP, DDR3_64bit With ECC @ 200MHz(DDR3-800), NOC@600MHz</t>
  </si>
  <si>
    <t>GOP:IPBPBP, DDR3_64bit With ECC @ 300MHz(DDR3-1200), NOC@600MHz</t>
  </si>
  <si>
    <t>GOP:IPBPBP, DDR3_64bit With ECC @ 250MHz(DDR3-1000), NOC@600MHz</t>
  </si>
  <si>
    <r>
      <t xml:space="preserve">DDR-1200( Controller </t>
    </r>
    <r>
      <rPr>
        <b/>
        <sz val="8"/>
        <color rgb="FFFFFF00"/>
        <rFont val="Arial Unicode MS"/>
        <family val="2"/>
        <charset val="134"/>
      </rPr>
      <t>~300</t>
    </r>
    <r>
      <rPr>
        <b/>
        <sz val="8"/>
        <color rgb="FF000000"/>
        <rFont val="Arial Unicode MS"/>
        <family val="2"/>
        <charset val="134"/>
      </rPr>
      <t xml:space="preserve">MHz ) without B_Frames
DDR-1400( Controller </t>
    </r>
    <r>
      <rPr>
        <b/>
        <sz val="8"/>
        <color rgb="FFFFFF00"/>
        <rFont val="Arial Unicode MS"/>
        <family val="2"/>
        <charset val="134"/>
      </rPr>
      <t>~350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</si>
  <si>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r>
      <t xml:space="preserve">DDR-1000( Controller </t>
    </r>
    <r>
      <rPr>
        <b/>
        <sz val="8"/>
        <color rgb="FFFFFF00"/>
        <rFont val="Arial Unicode MS"/>
        <family val="2"/>
        <charset val="134"/>
      </rPr>
      <t>~250</t>
    </r>
    <r>
      <rPr>
        <b/>
        <sz val="8"/>
        <color rgb="FF000000"/>
        <rFont val="Arial Unicode MS"/>
        <family val="2"/>
        <charset val="134"/>
      </rPr>
      <t xml:space="preserve">MHz ) without B_Frames
DDR-1200( Controller </t>
    </r>
    <r>
      <rPr>
        <b/>
        <sz val="8"/>
        <color rgb="FFFFFF00"/>
        <rFont val="Arial Unicode MS"/>
        <family val="2"/>
        <charset val="134"/>
      </rPr>
      <t>~300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</si>
  <si>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r>
      <t>DDR-600( Controller</t>
    </r>
    <r>
      <rPr>
        <b/>
        <sz val="8"/>
        <color rgb="FFFFFF00"/>
        <rFont val="Arial Unicode MS"/>
        <family val="2"/>
        <charset val="134"/>
      </rPr>
      <t xml:space="preserve"> ~150</t>
    </r>
    <r>
      <rPr>
        <b/>
        <sz val="8"/>
        <color rgb="FF000000"/>
        <rFont val="Arial Unicode MS"/>
        <family val="2"/>
        <charset val="134"/>
      </rPr>
      <t xml:space="preserve">MHz ) without B_Frames
DDR-800( Controller </t>
    </r>
    <r>
      <rPr>
        <b/>
        <sz val="8"/>
        <color rgb="FFFFFF00"/>
        <rFont val="Arial Unicode MS"/>
        <family val="2"/>
        <charset val="134"/>
      </rPr>
      <t>~200</t>
    </r>
    <r>
      <rPr>
        <b/>
        <sz val="8"/>
        <color rgb="FF000000"/>
        <rFont val="Arial Unicode MS"/>
        <family val="2"/>
        <charset val="134"/>
      </rPr>
      <t>MHz ) with B_Frames</t>
    </r>
    <phoneticPr fontId="2" type="noConversion"/>
  </si>
  <si>
    <t>GOP:IPBPBP, DDR3_64bit WO ECC @ 400MHz(DDR3-1600), NOC@600MHz</t>
    <phoneticPr fontId="2" type="noConversion"/>
  </si>
  <si>
    <t>GOP:IPBPBP, DDR3_64bit WO ECC @ 300MHz(DDR3-1200), NOC@600MHz</t>
    <phoneticPr fontId="2" type="noConversion"/>
  </si>
  <si>
    <t>GOP:IPBPBP, DDR3_64bit WO ECC @ 400MHz(DDR3-1200), NOC@600MHz</t>
    <phoneticPr fontId="2" type="noConversion"/>
  </si>
  <si>
    <t>QP</t>
    <phoneticPr fontId="2" type="noConversion"/>
  </si>
  <si>
    <t>PSNR(db)</t>
    <phoneticPr fontId="2" type="noConversion"/>
  </si>
  <si>
    <t>ed40</t>
    <phoneticPr fontId="2" type="noConversion"/>
  </si>
  <si>
    <t>3e5a</t>
    <phoneticPr fontId="2" type="noConversion"/>
  </si>
  <si>
    <t>ff91</t>
    <phoneticPr fontId="2" type="noConversion"/>
  </si>
  <si>
    <t>3d7e</t>
    <phoneticPr fontId="2" type="noConversion"/>
  </si>
  <si>
    <t>10ee8</t>
    <phoneticPr fontId="2" type="noConversion"/>
  </si>
  <si>
    <t>Core Cycle#/Frame</t>
    <phoneticPr fontId="2" type="noConversion"/>
  </si>
  <si>
    <t>Bit_Rate(Mbps)</t>
    <phoneticPr fontId="2" type="noConversion"/>
  </si>
  <si>
    <t>HEVC:Core_Clk@400MHz, BPU_Clk@333MHz ( 3840x2160 ), Init_QP = 25</t>
    <phoneticPr fontId="2" type="noConversion"/>
  </si>
  <si>
    <t>1e036</t>
    <phoneticPr fontId="2" type="noConversion"/>
  </si>
  <si>
    <t>67a9</t>
    <phoneticPr fontId="2" type="noConversion"/>
  </si>
  <si>
    <t>1a04</t>
    <phoneticPr fontId="2" type="noConversion"/>
  </si>
  <si>
    <t>1a18</t>
    <phoneticPr fontId="2" type="noConversion"/>
  </si>
  <si>
    <t>76d0</t>
    <phoneticPr fontId="2" type="noConversion"/>
  </si>
  <si>
    <t>HEVC:Core_Clk@400MHz, BPU_Clk@333MHz ( 3840x2160 ), Init_QP = 32</t>
    <phoneticPr fontId="2" type="noConversion"/>
  </si>
  <si>
    <t>HEVC:Core_Clk@400MHz, BPU_Clk@333MHz ( 3840x2160 ), Init_QP = 23</t>
    <phoneticPr fontId="2" type="noConversion"/>
  </si>
  <si>
    <t>138b4</t>
    <phoneticPr fontId="2" type="noConversion"/>
  </si>
  <si>
    <t>14ed8</t>
    <phoneticPr fontId="2" type="noConversion"/>
  </si>
  <si>
    <t>503f</t>
    <phoneticPr fontId="2" type="noConversion"/>
  </si>
  <si>
    <t>GOP:IPBPBP, DDR3_64bit WO ECC @ 400MHz(DDR3-1200), NOC@600MHz</t>
    <phoneticPr fontId="2" type="noConversion"/>
  </si>
  <si>
    <t>HEVC:Core_Clk@400MHz, BPU_Clk@333MHz ( 3840x2160 ), Init_QP = 21</t>
    <phoneticPr fontId="2" type="noConversion"/>
  </si>
  <si>
    <t>8ff79</t>
    <phoneticPr fontId="2" type="noConversion"/>
  </si>
  <si>
    <t>1e3d7</t>
    <phoneticPr fontId="2" type="noConversion"/>
  </si>
  <si>
    <t>69bc</t>
    <phoneticPr fontId="2" type="noConversion"/>
  </si>
  <si>
    <t>1d880</t>
    <phoneticPr fontId="2" type="noConversion"/>
  </si>
  <si>
    <t>67c8</t>
    <phoneticPr fontId="2" type="noConversion"/>
  </si>
  <si>
    <t>1eeab</t>
    <phoneticPr fontId="2" type="noConversion"/>
  </si>
  <si>
    <t>HEVC:Core_Clk@400MHz, BPU_Clk@333MHz ( 3840x2160 ), Init_QP = 19</t>
    <phoneticPr fontId="2" type="noConversion"/>
  </si>
  <si>
    <t>ec715</t>
    <phoneticPr fontId="2" type="noConversion"/>
  </si>
  <si>
    <t>38d8d</t>
    <phoneticPr fontId="2" type="noConversion"/>
  </si>
  <si>
    <t>91f5</t>
    <phoneticPr fontId="2" type="noConversion"/>
  </si>
  <si>
    <t>2c3d2</t>
    <phoneticPr fontId="2" type="noConversion"/>
  </si>
  <si>
    <t>8d56</t>
    <phoneticPr fontId="2" type="noConversion"/>
  </si>
  <si>
    <t>2dad0</t>
    <phoneticPr fontId="2" type="noConversion"/>
  </si>
  <si>
    <t>HEVC:Core_Clk@400MHz, BPU_Clk@333MHz ( 3840x2160 ), Init_QP = 17</t>
    <phoneticPr fontId="2" type="noConversion"/>
  </si>
  <si>
    <t>15b4da</t>
    <phoneticPr fontId="2" type="noConversion"/>
  </si>
  <si>
    <t>8dd35</t>
    <phoneticPr fontId="2" type="noConversion"/>
  </si>
  <si>
    <t>c677</t>
    <phoneticPr fontId="2" type="noConversion"/>
  </si>
  <si>
    <t>625f6</t>
    <phoneticPr fontId="2" type="noConversion"/>
  </si>
  <si>
    <t>bda7</t>
    <phoneticPr fontId="2" type="noConversion"/>
  </si>
  <si>
    <t>5f58b</t>
    <phoneticPr fontId="2" type="noConversion"/>
  </si>
  <si>
    <t>HEVC:Core_Clk@400MHz, BPU_Clk@333MHz ( 3840x2160 ), Init_QP = 16</t>
    <phoneticPr fontId="2" type="noConversion"/>
  </si>
  <si>
    <t>1acfa4</t>
    <phoneticPr fontId="2" type="noConversion"/>
  </si>
  <si>
    <t>e547c</t>
    <phoneticPr fontId="2" type="noConversion"/>
  </si>
  <si>
    <t>ea9d</t>
    <phoneticPr fontId="2" type="noConversion"/>
  </si>
  <si>
    <t>caf2d</t>
    <phoneticPr fontId="2" type="noConversion"/>
  </si>
  <si>
    <t>e0fe</t>
    <phoneticPr fontId="2" type="noConversion"/>
  </si>
  <si>
    <t>c869e</t>
    <phoneticPr fontId="2" type="noConversion"/>
  </si>
  <si>
    <t>HEVC:Core_Clk@400MHz, BPU_Clk@333MHz ( 3840x2160 ), Init_QP = 15</t>
    <phoneticPr fontId="2" type="noConversion"/>
  </si>
  <si>
    <t>1c9eb4</t>
    <phoneticPr fontId="2" type="noConversion"/>
  </si>
  <si>
    <t>10a9d5</t>
    <phoneticPr fontId="2" type="noConversion"/>
  </si>
  <si>
    <t>ede37</t>
    <phoneticPr fontId="2" type="noConversion"/>
  </si>
  <si>
    <t>112d1</t>
    <phoneticPr fontId="2" type="noConversion"/>
  </si>
  <si>
    <t>ec61b</t>
    <phoneticPr fontId="2" type="noConversion"/>
  </si>
  <si>
    <t>1e4ced</t>
    <phoneticPr fontId="2" type="noConversion"/>
  </si>
  <si>
    <t>18c56a</t>
    <phoneticPr fontId="2" type="noConversion"/>
  </si>
  <si>
    <t>19ba4</t>
    <phoneticPr fontId="2" type="noConversion"/>
  </si>
  <si>
    <t>188dd1</t>
    <phoneticPr fontId="2" type="noConversion"/>
  </si>
  <si>
    <t>18d2f4</t>
    <phoneticPr fontId="2" type="noConversion"/>
  </si>
  <si>
    <t>HEVC:Core_Clk@400MHz, BPU_Clk@333MHz ( 3840x2160 ), Init_QP = 14</t>
    <phoneticPr fontId="2" type="noConversion"/>
  </si>
  <si>
    <t>1a2a0e</t>
    <phoneticPr fontId="2" type="noConversion"/>
  </si>
  <si>
    <t>20d3d</t>
    <phoneticPr fontId="2" type="noConversion"/>
  </si>
  <si>
    <t>19b7e8</t>
    <phoneticPr fontId="2" type="noConversion"/>
  </si>
  <si>
    <t>1f023</t>
    <phoneticPr fontId="2" type="noConversion"/>
  </si>
  <si>
    <t>1a0986</t>
    <phoneticPr fontId="2" type="noConversion"/>
  </si>
  <si>
    <t>21e125</t>
    <phoneticPr fontId="2" type="noConversion"/>
  </si>
  <si>
    <t>HEVC:Core_Clk@400MHz, BPU_Clk@333MHz ( 3840x2160 ), Init_QP = 13</t>
    <phoneticPr fontId="2" type="noConversion"/>
  </si>
  <si>
    <t>HEVC:Core_Clk@400MHz, BPU_Clk@333MHz ( 3840x2160 ), Init_QP = 12</t>
    <phoneticPr fontId="2" type="noConversion"/>
  </si>
  <si>
    <t>2488e5</t>
    <phoneticPr fontId="2" type="noConversion"/>
  </si>
  <si>
    <t>1b696f</t>
    <phoneticPr fontId="2" type="noConversion"/>
  </si>
  <si>
    <t>1af5a4</t>
    <phoneticPr fontId="2" type="noConversion"/>
  </si>
  <si>
    <t>1b3db2</t>
    <phoneticPr fontId="2" type="noConversion"/>
  </si>
  <si>
    <t>HEVC:Core_Clk@400MHz, BPU_Clk@333MHz ( 3840x2160 ), Init_QP = 11</t>
    <phoneticPr fontId="2" type="noConversion"/>
  </si>
  <si>
    <t>3a2788</t>
    <phoneticPr fontId="2" type="noConversion"/>
  </si>
  <si>
    <t>1e7d7c</t>
    <phoneticPr fontId="2" type="noConversion"/>
  </si>
  <si>
    <t>37fac</t>
    <phoneticPr fontId="2" type="noConversion"/>
  </si>
  <si>
    <t>1daeb0</t>
    <phoneticPr fontId="2" type="noConversion"/>
  </si>
  <si>
    <t>30e17</t>
    <phoneticPr fontId="2" type="noConversion"/>
  </si>
  <si>
    <t>1df348</t>
    <phoneticPr fontId="2" type="noConversion"/>
  </si>
  <si>
    <t>HEVC:Core_Clk@400MHz, BPU_Clk@333MHz ( 3840x2160 ), Init_QP = 10</t>
    <phoneticPr fontId="2" type="noConversion"/>
  </si>
  <si>
    <t>384d7d</t>
    <phoneticPr fontId="2" type="noConversion"/>
  </si>
  <si>
    <t>21e7ac</t>
    <phoneticPr fontId="2" type="noConversion"/>
  </si>
  <si>
    <t>d9353</t>
    <phoneticPr fontId="2" type="noConversion"/>
  </si>
  <si>
    <t>211d71</t>
    <phoneticPr fontId="2" type="noConversion"/>
  </si>
  <si>
    <t>c2441</t>
    <phoneticPr fontId="2" type="noConversion"/>
  </si>
  <si>
    <t>HEVC:Core_Clk@400MHz, BPU_Clk@333MHz ( 3840x2160 ), Init_QP = 9</t>
    <phoneticPr fontId="2" type="noConversion"/>
  </si>
  <si>
    <t>3fec49</t>
    <phoneticPr fontId="2" type="noConversion"/>
  </si>
  <si>
    <t>3a2f22</t>
    <phoneticPr fontId="2" type="noConversion"/>
  </si>
  <si>
    <t>dba7d</t>
    <phoneticPr fontId="2" type="noConversion"/>
  </si>
  <si>
    <t>39fd5e</t>
    <phoneticPr fontId="2" type="noConversion"/>
  </si>
  <si>
    <t>cc8db</t>
    <phoneticPr fontId="2" type="noConversion"/>
  </si>
  <si>
    <t>HEVC:Core_Clk@400MHz, BPU_Clk@333MHz ( 3840x2160 ), Init_QP = 8</t>
    <phoneticPr fontId="2" type="noConversion"/>
  </si>
  <si>
    <t>3fd070</t>
    <phoneticPr fontId="2" type="noConversion"/>
  </si>
  <si>
    <t>371e57</t>
    <phoneticPr fontId="2" type="noConversion"/>
  </si>
  <si>
    <t>22e659</t>
    <phoneticPr fontId="2" type="noConversion"/>
  </si>
  <si>
    <t>36e834</t>
    <phoneticPr fontId="2" type="noConversion"/>
  </si>
  <si>
    <t>22b47a</t>
    <phoneticPr fontId="2" type="noConversion"/>
  </si>
  <si>
    <t>CABAC Summary</t>
    <phoneticPr fontId="2" type="noConversion"/>
  </si>
  <si>
    <t>HEVC:Core_Clk@400MHz, BPU_Clk@333MHz ( 3840x2160 )</t>
    <phoneticPr fontId="2" type="noConversion"/>
  </si>
  <si>
    <t>I</t>
    <phoneticPr fontId="2" type="noConversion"/>
  </si>
  <si>
    <t>P</t>
    <phoneticPr fontId="2" type="noConversion"/>
  </si>
  <si>
    <t>B</t>
    <phoneticPr fontId="2" type="noConversion"/>
  </si>
  <si>
    <t>Hex2Dec</t>
    <phoneticPr fontId="2" type="noConversion"/>
  </si>
  <si>
    <t>Hex2Dec</t>
    <phoneticPr fontId="2" type="noConversion"/>
  </si>
  <si>
    <t>Freq MHz. (4K@30fps )</t>
    <phoneticPr fontId="2" type="noConversion"/>
  </si>
  <si>
    <t>Freq MHz (4K@30fps )</t>
    <phoneticPr fontId="2" type="noConversion"/>
  </si>
  <si>
    <r>
      <t>64bit wo ecc (</t>
    </r>
    <r>
      <rPr>
        <b/>
        <sz val="8"/>
        <color rgb="FFFF0000"/>
        <rFont val="Arial Unicode MS"/>
        <family val="2"/>
        <charset val="134"/>
      </rPr>
      <t>DDR_ROW_BANK_COL Map</t>
    </r>
    <r>
      <rPr>
        <b/>
        <sz val="8"/>
        <color rgb="FF000000"/>
        <rFont val="Arial Unicode MS"/>
        <family val="2"/>
        <charset val="134"/>
      </rPr>
      <t>)</t>
    </r>
    <phoneticPr fontId="2" type="noConversion"/>
  </si>
  <si>
    <t>The latest DDR requirement for HEVC Enc 3840x2160@30fps  hevc_core run@400MHz (svn:15532 version)</t>
    <phoneticPr fontId="2" type="noConversion"/>
  </si>
  <si>
    <t>The latest DDR requirement for HEVC Enc 4K@30fps  hevc_core run@400MHz (svn:15040 version)</t>
    <phoneticPr fontId="2" type="noConversion"/>
  </si>
  <si>
    <t>The latest DDR requirement for HEVC Enc 4K@30fps  hevc_core run@400MHz(SVN: 14702)</t>
    <phoneticPr fontId="2" type="noConversion"/>
  </si>
  <si>
    <r>
      <t xml:space="preserve">Note:  </t>
    </r>
    <r>
      <rPr>
        <b/>
        <sz val="8"/>
        <color rgb="FFFF0000"/>
        <rFont val="Arial Unicode MS"/>
        <family val="2"/>
        <charset val="134"/>
      </rPr>
      <t xml:space="preserve">DDR_ROW_BANK_COL Addr Maping </t>
    </r>
    <r>
      <rPr>
        <b/>
        <sz val="8"/>
        <color rgb="FF000000"/>
        <rFont val="Arial Unicode MS"/>
        <family val="2"/>
        <charset val="134"/>
      </rPr>
      <t xml:space="preserve">is based on hevc enc axi read request behavior </t>
    </r>
    <phoneticPr fontId="2" type="noConversion"/>
  </si>
  <si>
    <t>HEVC:Core_Clk@400MHz, BPU_Clk@333MHz  , Init_QP = 30</t>
    <phoneticPr fontId="2" type="noConversion"/>
  </si>
  <si>
    <t>Netflix_Crosswalk_4096x2160</t>
  </si>
  <si>
    <t>I</t>
    <phoneticPr fontId="2" type="noConversion"/>
  </si>
  <si>
    <t>B</t>
    <phoneticPr fontId="2" type="noConversion"/>
  </si>
  <si>
    <t>P</t>
    <phoneticPr fontId="2" type="noConversion"/>
  </si>
  <si>
    <t>Netflix_Crosswalk_4096x2160_12</t>
    <phoneticPr fontId="2" type="noConversion"/>
  </si>
  <si>
    <t>Bit_Rate(Mbps)</t>
    <phoneticPr fontId="2" type="noConversion"/>
  </si>
  <si>
    <t>Core Cycle
#/Frame</t>
    <phoneticPr fontId="2" type="noConversion"/>
  </si>
  <si>
    <t>Freq MHz 
(4K@30fps )</t>
    <phoneticPr fontId="2" type="noConversion"/>
  </si>
  <si>
    <t>Cpu Cycle 
#/Frame</t>
    <phoneticPr fontId="2" type="noConversion"/>
  </si>
  <si>
    <t>BandWidth
(MBytes)</t>
    <phoneticPr fontId="2" type="noConversion"/>
  </si>
  <si>
    <t>Netflix_Crosswalk_4096x2160_23</t>
    <phoneticPr fontId="2" type="noConversion"/>
  </si>
  <si>
    <t>Netflix_Narrator_4096x2160_23</t>
    <phoneticPr fontId="2" type="noConversion"/>
  </si>
  <si>
    <t>Netflix_Narrator_4096x2160</t>
    <phoneticPr fontId="2" type="noConversion"/>
  </si>
  <si>
    <t>Netflix_Narrator_4096x2160_12</t>
    <phoneticPr fontId="2" type="noConversion"/>
  </si>
  <si>
    <t>ShakeNDry_3840x2160</t>
    <phoneticPr fontId="2" type="noConversion"/>
  </si>
  <si>
    <t>ShakeNDry_3840x2160_12</t>
    <phoneticPr fontId="2" type="noConversion"/>
  </si>
  <si>
    <t>Bytes_Count/Frame</t>
  </si>
  <si>
    <t>Bytes_Count/Frame</t>
    <phoneticPr fontId="2" type="noConversion"/>
  </si>
  <si>
    <t>Bit_Rate(Mbps)</t>
    <phoneticPr fontId="2" type="noConversion"/>
  </si>
  <si>
    <t>Freq MHz 
(4K@30fps )2</t>
  </si>
  <si>
    <t>HEVC_ENC 10bit(3p4b format) With DDR3 64Bit WithOut ECC</t>
    <phoneticPr fontId="2" type="noConversion"/>
  </si>
  <si>
    <t>Netflix_Crosswalk_4096x2160_12</t>
    <phoneticPr fontId="2" type="noConversion"/>
  </si>
  <si>
    <t>Netflix_Crosswalk_4096x2160_23</t>
    <phoneticPr fontId="2" type="noConversion"/>
  </si>
  <si>
    <t>I_Frame Max_BW
/Frame(MBytes)</t>
    <phoneticPr fontId="2" type="noConversion"/>
  </si>
  <si>
    <t>P_Frame Max_BW
/Frame(Mbytes)</t>
    <phoneticPr fontId="2" type="noConversion"/>
  </si>
  <si>
    <t>B_Frame Max_BW
/Frame(Mbytes)</t>
    <phoneticPr fontId="2" type="noConversion"/>
  </si>
  <si>
    <t>Netflix_Narrator_4096x2160_23</t>
    <phoneticPr fontId="2" type="noConversion"/>
  </si>
  <si>
    <t>ShakeNDry_3840x2160_12</t>
    <phoneticPr fontId="2" type="noConversion"/>
  </si>
  <si>
    <t>ShakeNDry_3840x2160_23</t>
    <phoneticPr fontId="2" type="noConversion"/>
  </si>
  <si>
    <t>P</t>
    <phoneticPr fontId="2" type="noConversion"/>
  </si>
  <si>
    <t>P</t>
    <phoneticPr fontId="2" type="noConversion"/>
  </si>
  <si>
    <t xml:space="preserve">Process I_Frame
Need Core_Freq(MHz) </t>
    <phoneticPr fontId="2" type="noConversion"/>
  </si>
  <si>
    <t xml:space="preserve">Process P_Frame
Need Core_Freq(MHz) </t>
    <phoneticPr fontId="2" type="noConversion"/>
  </si>
  <si>
    <t>Process B_Frame
Need Core_Freq(MHz)</t>
    <phoneticPr fontId="2" type="noConversion"/>
  </si>
  <si>
    <t>Max BandWidth
Mbytes
(30Frame)</t>
    <phoneticPr fontId="2" type="noConversion"/>
  </si>
  <si>
    <t>Netflix_Crosswalk_4096x2160</t>
    <phoneticPr fontId="2" type="noConversion"/>
  </si>
  <si>
    <t>DDR3_64bit , 4K 10bit(3P4B) pix_format ,HEVC Encoder Performance Summary</t>
    <phoneticPr fontId="2" type="noConversion"/>
  </si>
  <si>
    <t>Process IPB 
seqence Need 
Core Freq (MHz)</t>
    <phoneticPr fontId="2" type="noConversion"/>
  </si>
  <si>
    <t>Netflix_Narrator_4096x2160_12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</si>
</sst>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);[Red]\(0.00\)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8"/>
      <color rgb="FF000000"/>
      <name val="Arial Unicode MS"/>
      <family val="2"/>
      <charset val="134"/>
    </font>
    <font>
      <b/>
      <sz val="8"/>
      <color rgb="FFFFFFFF"/>
      <name val="Arial Unicode MS"/>
      <family val="2"/>
      <charset val="134"/>
    </font>
    <font>
      <b/>
      <sz val="8"/>
      <color rgb="FFFFFF00"/>
      <name val="Arial Unicode MS"/>
      <family val="2"/>
      <charset val="134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8"/>
      <color rgb="FFFF0000"/>
      <name val="Arial Unicode MS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 style="medium">
        <color rgb="FF95B3D7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20" fillId="15" borderId="18" applyNumberFormat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6" borderId="2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1" applyNumberFormat="0" applyFont="0" applyAlignment="0" applyProtection="0">
      <alignment vertical="center"/>
    </xf>
  </cellStyleXfs>
  <cellXfs count="104">
    <xf numFmtId="0" fontId="0" fillId="0" borderId="0" xfId="0"/>
    <xf numFmtId="0" fontId="3" fillId="0" borderId="0" xfId="0" applyFont="1"/>
    <xf numFmtId="176" fontId="0" fillId="0" borderId="0" xfId="0" applyNumberFormat="1"/>
    <xf numFmtId="0" fontId="3" fillId="0" borderId="0" xfId="0" applyFont="1" applyBorder="1"/>
    <xf numFmtId="0" fontId="0" fillId="0" borderId="0" xfId="0" applyBorder="1"/>
    <xf numFmtId="176" fontId="0" fillId="0" borderId="0" xfId="0" applyNumberFormat="1" applyBorder="1"/>
    <xf numFmtId="176" fontId="0" fillId="0" borderId="1" xfId="0" applyNumberFormat="1" applyFont="1" applyBorder="1"/>
    <xf numFmtId="0" fontId="0" fillId="2" borderId="0" xfId="0" applyFill="1"/>
    <xf numFmtId="0" fontId="5" fillId="0" borderId="2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0" fillId="10" borderId="11" xfId="0" applyFont="1" applyFill="1" applyBorder="1"/>
    <xf numFmtId="0" fontId="0" fillId="10" borderId="11" xfId="0" applyFont="1" applyFill="1" applyBorder="1" applyAlignment="1">
      <alignment horizontal="center"/>
    </xf>
    <xf numFmtId="176" fontId="0" fillId="10" borderId="11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176" fontId="0" fillId="0" borderId="11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10" borderId="11" xfId="0" applyNumberFormat="1" applyFont="1" applyFill="1" applyBorder="1" applyAlignment="1">
      <alignment horizontal="center"/>
    </xf>
    <xf numFmtId="177" fontId="0" fillId="0" borderId="11" xfId="0" applyNumberFormat="1" applyFont="1" applyBorder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10" fillId="9" borderId="12" xfId="0" applyFont="1" applyFill="1" applyBorder="1"/>
    <xf numFmtId="0" fontId="10" fillId="9" borderId="12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center"/>
    </xf>
    <xf numFmtId="0" fontId="0" fillId="10" borderId="1" xfId="0" applyNumberFormat="1" applyFont="1" applyFill="1" applyBorder="1" applyAlignment="1">
      <alignment horizontal="center"/>
    </xf>
    <xf numFmtId="177" fontId="0" fillId="10" borderId="1" xfId="0" applyNumberFormat="1" applyFont="1" applyFill="1" applyBorder="1" applyAlignment="1">
      <alignment horizontal="center"/>
    </xf>
    <xf numFmtId="176" fontId="0" fillId="10" borderId="1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vertical="center"/>
    </xf>
    <xf numFmtId="0" fontId="10" fillId="9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0" fillId="9" borderId="12" xfId="0" applyFont="1" applyFill="1" applyBorder="1" applyAlignment="1">
      <alignment horizontal="center" wrapText="1"/>
    </xf>
    <xf numFmtId="0" fontId="1" fillId="0" borderId="0" xfId="41" applyAlignment="1">
      <alignment horizontal="center" vertical="center"/>
    </xf>
    <xf numFmtId="176" fontId="1" fillId="0" borderId="0" xfId="41" applyNumberFormat="1" applyAlignment="1">
      <alignment horizontal="center"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1" fillId="0" borderId="0" xfId="41">
      <alignment vertical="center"/>
    </xf>
    <xf numFmtId="0" fontId="3" fillId="0" borderId="0" xfId="0" applyFont="1" applyAlignment="1">
      <alignment horizontal="center" vertical="center" wrapText="1"/>
    </xf>
    <xf numFmtId="0" fontId="0" fillId="43" borderId="23" xfId="0" applyFill="1" applyBorder="1"/>
    <xf numFmtId="176" fontId="0" fillId="43" borderId="23" xfId="0" applyNumberFormat="1" applyFill="1" applyBorder="1" applyAlignment="1">
      <alignment horizontal="center"/>
    </xf>
    <xf numFmtId="0" fontId="1" fillId="43" borderId="23" xfId="41" applyFill="1" applyBorder="1" applyAlignment="1">
      <alignment horizontal="center" vertical="center"/>
    </xf>
    <xf numFmtId="176" fontId="1" fillId="43" borderId="23" xfId="41" applyNumberFormat="1" applyFill="1" applyBorder="1" applyAlignment="1">
      <alignment horizontal="center" vertical="center"/>
    </xf>
    <xf numFmtId="0" fontId="0" fillId="42" borderId="23" xfId="0" applyFill="1" applyBorder="1"/>
    <xf numFmtId="176" fontId="0" fillId="42" borderId="23" xfId="0" applyNumberFormat="1" applyFill="1" applyBorder="1" applyAlignment="1">
      <alignment horizontal="center"/>
    </xf>
    <xf numFmtId="0" fontId="1" fillId="42" borderId="23" xfId="41" applyFill="1" applyBorder="1" applyAlignment="1">
      <alignment horizontal="center" vertical="center"/>
    </xf>
    <xf numFmtId="176" fontId="1" fillId="42" borderId="23" xfId="41" applyNumberFormat="1" applyFill="1" applyBorder="1" applyAlignment="1">
      <alignment horizontal="center" vertical="center"/>
    </xf>
    <xf numFmtId="0" fontId="0" fillId="44" borderId="23" xfId="0" applyFill="1" applyBorder="1"/>
    <xf numFmtId="176" fontId="0" fillId="44" borderId="23" xfId="0" applyNumberFormat="1" applyFill="1" applyBorder="1" applyAlignment="1">
      <alignment horizontal="center"/>
    </xf>
    <xf numFmtId="0" fontId="1" fillId="44" borderId="23" xfId="41" applyFill="1" applyBorder="1" applyAlignment="1">
      <alignment horizontal="center" vertical="center"/>
    </xf>
    <xf numFmtId="176" fontId="1" fillId="44" borderId="23" xfId="41" applyNumberFormat="1" applyFill="1" applyBorder="1" applyAlignment="1">
      <alignment horizontal="center" vertical="center"/>
    </xf>
    <xf numFmtId="176" fontId="0" fillId="43" borderId="24" xfId="0" applyNumberFormat="1" applyFill="1" applyBorder="1" applyAlignment="1">
      <alignment horizontal="center"/>
    </xf>
    <xf numFmtId="176" fontId="0" fillId="42" borderId="24" xfId="0" applyNumberFormat="1" applyFill="1" applyBorder="1" applyAlignment="1">
      <alignment horizontal="center"/>
    </xf>
    <xf numFmtId="176" fontId="0" fillId="44" borderId="24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wrapText="1"/>
    </xf>
    <xf numFmtId="0" fontId="10" fillId="9" borderId="2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8" fillId="44" borderId="0" xfId="0" applyFont="1" applyFill="1" applyAlignment="1">
      <alignment horizontal="center"/>
    </xf>
    <xf numFmtId="0" fontId="29" fillId="44" borderId="0" xfId="0" applyFont="1" applyFill="1" applyAlignment="1">
      <alignment horizont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717">
    <dxf>
      <numFmt numFmtId="176" formatCode="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7" formatCode="0.00_);[Red]\(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176" formatCode="0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7" formatCode="0.00_);[Red]\(0.00\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numFmt numFmtId="176" formatCode="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176" formatCode="0_ "/>
    </dxf>
    <dxf>
      <numFmt numFmtId="176" formatCode="0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32184476940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28611916668911"/>
          <c:y val="0.11737112918632334"/>
          <c:w val="0.7859730589548598"/>
          <c:h val="0.78700984261902884"/>
        </c:manualLayout>
      </c:layout>
      <c:lineChart>
        <c:grouping val="stacked"/>
        <c:varyColors val="0"/>
        <c:ser>
          <c:idx val="0"/>
          <c:order val="0"/>
          <c:tx>
            <c:v>I_Frame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DDR3_HEVC_ENC_CABAC!$C$157:$C$171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32</c:v>
                </c:pt>
              </c:numCache>
            </c:numRef>
          </c:cat>
          <c:val>
            <c:numRef>
              <c:f>DDR3_HEVC_ENC_CABAC!$F$157:$F$171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4304"/>
        <c:axId val="187956224"/>
      </c:lineChart>
      <c:catAx>
        <c:axId val="1879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956224"/>
        <c:crosses val="autoZero"/>
        <c:auto val="1"/>
        <c:lblAlgn val="ctr"/>
        <c:lblOffset val="100"/>
        <c:noMultiLvlLbl val="0"/>
      </c:catAx>
      <c:valAx>
        <c:axId val="187956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513513513513514E-2"/>
              <c:y val="4.7555599964409841E-2"/>
            </c:manualLayout>
          </c:layout>
          <c:overlay val="0"/>
        </c:title>
        <c:numFmt formatCode="0.00&quot;Mbps&quot;" sourceLinked="0"/>
        <c:majorTickMark val="out"/>
        <c:minorTickMark val="none"/>
        <c:tickLblPos val="nextTo"/>
        <c:crossAx val="18795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64039899801579"/>
          <c:y val="0.50124413814249269"/>
          <c:w val="0.16539831169752431"/>
          <c:h val="4.654545616687316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1226200316120707E-2"/>
          <c:y val="0.11473090403576854"/>
          <c:w val="0.88122189668151951"/>
          <c:h val="0.7686078503990682"/>
        </c:manualLayout>
      </c:layout>
      <c:lineChart>
        <c:grouping val="stacked"/>
        <c:varyColors val="0"/>
        <c:ser>
          <c:idx val="0"/>
          <c:order val="0"/>
          <c:tx>
            <c:v>I_Frame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DDR3_HEVC_ENC_CABAC!$F$157:$F$171</c:f>
              <c:numCache>
                <c:formatCode>0.00_);[Red]\(0.00\)</c:formatCode>
                <c:ptCount val="15"/>
                <c:pt idx="0">
                  <c:v>1003.7107199999999</c:v>
                </c:pt>
                <c:pt idx="1">
                  <c:v>1005.42168</c:v>
                </c:pt>
                <c:pt idx="2">
                  <c:v>885.56471999999997</c:v>
                </c:pt>
                <c:pt idx="3">
                  <c:v>914.68992000000003</c:v>
                </c:pt>
                <c:pt idx="4">
                  <c:v>574.64184</c:v>
                </c:pt>
                <c:pt idx="5">
                  <c:v>532.87800000000004</c:v>
                </c:pt>
                <c:pt idx="6">
                  <c:v>476.58552000000003</c:v>
                </c:pt>
                <c:pt idx="7">
                  <c:v>450.15264000000002</c:v>
                </c:pt>
                <c:pt idx="8">
                  <c:v>421.70208000000002</c:v>
                </c:pt>
                <c:pt idx="9">
                  <c:v>341.41296</c:v>
                </c:pt>
                <c:pt idx="10">
                  <c:v>232.43256</c:v>
                </c:pt>
                <c:pt idx="11">
                  <c:v>141.52535999999998</c:v>
                </c:pt>
                <c:pt idx="12">
                  <c:v>88.071839999999995</c:v>
                </c:pt>
                <c:pt idx="13">
                  <c:v>64.355040000000002</c:v>
                </c:pt>
                <c:pt idx="14">
                  <c:v>29.504159999999999</c:v>
                </c:pt>
              </c:numCache>
            </c:numRef>
          </c:cat>
          <c:val>
            <c:numRef>
              <c:f>DDR3_HEVC_ENC_CABAC!$H$157:$H$171</c:f>
              <c:numCache>
                <c:formatCode>0_ </c:formatCode>
                <c:ptCount val="15"/>
                <c:pt idx="0">
                  <c:v>590.80704000000003</c:v>
                </c:pt>
                <c:pt idx="1">
                  <c:v>588.84096</c:v>
                </c:pt>
                <c:pt idx="2">
                  <c:v>529.85856000000001</c:v>
                </c:pt>
                <c:pt idx="3">
                  <c:v>551.48543999999993</c:v>
                </c:pt>
                <c:pt idx="4">
                  <c:v>383.38559999999995</c:v>
                </c:pt>
                <c:pt idx="5">
                  <c:v>387.31776000000002</c:v>
                </c:pt>
                <c:pt idx="6">
                  <c:v>389.28384</c:v>
                </c:pt>
                <c:pt idx="7">
                  <c:v>390.26688000000001</c:v>
                </c:pt>
                <c:pt idx="8">
                  <c:v>390.26688000000001</c:v>
                </c:pt>
                <c:pt idx="9">
                  <c:v>390.26688000000001</c:v>
                </c:pt>
                <c:pt idx="10">
                  <c:v>389.28384</c:v>
                </c:pt>
                <c:pt idx="11">
                  <c:v>386.33471999999995</c:v>
                </c:pt>
                <c:pt idx="12">
                  <c:v>383.38559999999995</c:v>
                </c:pt>
                <c:pt idx="13">
                  <c:v>377.48735999999997</c:v>
                </c:pt>
                <c:pt idx="14">
                  <c:v>371.58911999999998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2112"/>
        <c:axId val="187484032"/>
      </c:lineChart>
      <c:catAx>
        <c:axId val="1874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772853974648538"/>
              <c:y val="0.93552546744036102"/>
            </c:manualLayout>
          </c:layout>
          <c:overlay val="0"/>
        </c:title>
        <c:numFmt formatCode="0.0&quot;Mbps&quot;" sourceLinked="0"/>
        <c:majorTickMark val="out"/>
        <c:minorTickMark val="none"/>
        <c:tickLblPos val="nextTo"/>
        <c:crossAx val="187484032"/>
        <c:crosses val="autoZero"/>
        <c:auto val="1"/>
        <c:lblAlgn val="ctr"/>
        <c:lblOffset val="100"/>
        <c:noMultiLvlLbl val="0"/>
      </c:catAx>
      <c:valAx>
        <c:axId val="187484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839793281653748E-3"/>
              <c:y val="4.5134203485686128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8748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39876701458831"/>
          <c:y val="0.59641815606382531"/>
          <c:w val="0.17229373944536"/>
          <c:h val="4.6635495514704764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32184476940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444032261924697E-2"/>
          <c:y val="0.10190031108688961"/>
          <c:w val="0.73520937542381659"/>
          <c:h val="0.78607866146828287"/>
        </c:manualLayout>
      </c:layout>
      <c:lineChart>
        <c:grouping val="stacked"/>
        <c:varyColors val="0"/>
        <c:ser>
          <c:idx val="0"/>
          <c:order val="0"/>
          <c:tx>
            <c:v>P_Frame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DDR3_HEVC_ENC_CABAC!$C$190:$C$204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</c:numCache>
            </c:numRef>
          </c:cat>
          <c:val>
            <c:numRef>
              <c:f>DDR3_HEVC_ENC_CABAC!$F$190:$F$204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89952"/>
        <c:axId val="194216704"/>
      </c:lineChart>
      <c:catAx>
        <c:axId val="1941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16704"/>
        <c:crossesAt val="0"/>
        <c:auto val="1"/>
        <c:lblAlgn val="ctr"/>
        <c:lblOffset val="100"/>
        <c:noMultiLvlLbl val="0"/>
      </c:catAx>
      <c:valAx>
        <c:axId val="194216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layout>
            <c:manualLayout>
              <c:xMode val="edge"/>
              <c:yMode val="edge"/>
              <c:x val="1.7561634582911177E-2"/>
              <c:y val="4.2076818668416928E-2"/>
            </c:manualLayout>
          </c:layout>
          <c:overlay val="0"/>
        </c:title>
        <c:numFmt formatCode="0.00&quot;Mbps&quot;" sourceLinked="0"/>
        <c:majorTickMark val="out"/>
        <c:minorTickMark val="out"/>
        <c:tickLblPos val="nextTo"/>
        <c:crossAx val="19418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94605999159853"/>
          <c:y val="0.50953505063364091"/>
          <c:w val="0.15222714569585685"/>
          <c:h val="4.755532777337744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1226200316120707E-2"/>
          <c:y val="0.11473090403576854"/>
          <c:w val="0.87734589115587069"/>
          <c:h val="0.7686078503990682"/>
        </c:manualLayout>
      </c:layout>
      <c:lineChart>
        <c:grouping val="stacked"/>
        <c:varyColors val="0"/>
        <c:ser>
          <c:idx val="0"/>
          <c:order val="0"/>
          <c:tx>
            <c:v>P_Frame BitRate_CoreCyc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DDR3_HEVC_ENC_CABAC!$F$190:$F$204</c:f>
              <c:numCache>
                <c:formatCode>0.00_);[Red]\(0.00\)</c:formatCode>
                <c:ptCount val="15"/>
                <c:pt idx="0">
                  <c:v>866.93928000000005</c:v>
                </c:pt>
                <c:pt idx="1">
                  <c:v>915.15695999999991</c:v>
                </c:pt>
                <c:pt idx="2">
                  <c:v>533.27904000000001</c:v>
                </c:pt>
                <c:pt idx="3">
                  <c:v>479.56896</c:v>
                </c:pt>
                <c:pt idx="4">
                  <c:v>431.15111999999999</c:v>
                </c:pt>
                <c:pt idx="5">
                  <c:v>411.52848</c:v>
                </c:pt>
                <c:pt idx="6">
                  <c:v>389.61647999999997</c:v>
                </c:pt>
                <c:pt idx="7">
                  <c:v>262.09271999999999</c:v>
                </c:pt>
                <c:pt idx="8">
                  <c:v>225.39167999999998</c:v>
                </c:pt>
                <c:pt idx="9">
                  <c:v>139.42007999999998</c:v>
                </c:pt>
                <c:pt idx="10">
                  <c:v>55.882800000000003</c:v>
                </c:pt>
                <c:pt idx="11">
                  <c:v>29.727119999999999</c:v>
                </c:pt>
                <c:pt idx="12">
                  <c:v>19.212479999999999</c:v>
                </c:pt>
                <c:pt idx="13">
                  <c:v>14.576639999999999</c:v>
                </c:pt>
                <c:pt idx="14">
                  <c:v>6.3688799999999999</c:v>
                </c:pt>
              </c:numCache>
            </c:numRef>
          </c:cat>
          <c:val>
            <c:numRef>
              <c:f>DDR3_HEVC_ENC_CABAC!$H$190:$H$204</c:f>
              <c:numCache>
                <c:formatCode>0_ </c:formatCode>
                <c:ptCount val="15"/>
                <c:pt idx="0">
                  <c:v>517.07903999999996</c:v>
                </c:pt>
                <c:pt idx="1">
                  <c:v>551.48543999999993</c:v>
                </c:pt>
                <c:pt idx="2">
                  <c:v>405.99552</c:v>
                </c:pt>
                <c:pt idx="3">
                  <c:v>406.97856000000002</c:v>
                </c:pt>
                <c:pt idx="4">
                  <c:v>408.94463999999999</c:v>
                </c:pt>
                <c:pt idx="5">
                  <c:v>404.02944000000002</c:v>
                </c:pt>
                <c:pt idx="6">
                  <c:v>401.08032000000003</c:v>
                </c:pt>
                <c:pt idx="7">
                  <c:v>405.99552</c:v>
                </c:pt>
                <c:pt idx="8">
                  <c:v>403.04640000000001</c:v>
                </c:pt>
                <c:pt idx="9">
                  <c:v>406.97856000000002</c:v>
                </c:pt>
                <c:pt idx="10">
                  <c:v>406.97856000000002</c:v>
                </c:pt>
                <c:pt idx="11">
                  <c:v>405.99552</c:v>
                </c:pt>
                <c:pt idx="12">
                  <c:v>403.04640000000001</c:v>
                </c:pt>
                <c:pt idx="13">
                  <c:v>402.06335999999999</c:v>
                </c:pt>
                <c:pt idx="14">
                  <c:v>393.21600000000001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0240"/>
        <c:axId val="194252160"/>
      </c:lineChart>
      <c:catAx>
        <c:axId val="1942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  <a:endParaRPr lang="zh-CN" altLang="en-US"/>
              </a:p>
            </c:rich>
          </c:tx>
          <c:overlay val="0"/>
        </c:title>
        <c:numFmt formatCode="0.0&quot;Mbps&quot;" sourceLinked="0"/>
        <c:majorTickMark val="out"/>
        <c:minorTickMark val="none"/>
        <c:tickLblPos val="nextTo"/>
        <c:crossAx val="194252160"/>
        <c:crosses val="autoZero"/>
        <c:auto val="1"/>
        <c:lblAlgn val="ctr"/>
        <c:lblOffset val="100"/>
        <c:noMultiLvlLbl val="0"/>
      </c:catAx>
      <c:valAx>
        <c:axId val="194252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Core_Freq</a:t>
                </a:r>
              </a:p>
            </c:rich>
          </c:tx>
          <c:layout>
            <c:manualLayout>
              <c:xMode val="edge"/>
              <c:yMode val="edge"/>
              <c:x val="2.731840493641426E-3"/>
              <c:y val="4.8943900413736023E-2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942502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13370569833585E-2"/>
          <c:y val="0.15041129242222739"/>
          <c:w val="0.83796393628631227"/>
          <c:h val="0.76003856086353816"/>
        </c:manualLayout>
      </c:layout>
      <c:lineChart>
        <c:grouping val="stacked"/>
        <c:varyColors val="0"/>
        <c:ser>
          <c:idx val="0"/>
          <c:order val="0"/>
          <c:tx>
            <c:v>B_Frame QP_BitRate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DDR3_HEVC_ENC_CABAC!$C$226:$C$240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</c:numCache>
            </c:numRef>
          </c:cat>
          <c:val>
            <c:numRef>
              <c:f>DDR3_HEVC_ENC_CABAC!$F$226:$F$240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83776"/>
        <c:axId val="194290048"/>
      </c:lineChart>
      <c:catAx>
        <c:axId val="1942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QP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90048"/>
        <c:crosses val="autoZero"/>
        <c:auto val="1"/>
        <c:lblAlgn val="ctr"/>
        <c:lblOffset val="100"/>
        <c:noMultiLvlLbl val="0"/>
      </c:catAx>
      <c:valAx>
        <c:axId val="194290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BitRate</a:t>
                </a:r>
              </a:p>
            </c:rich>
          </c:tx>
          <c:layout>
            <c:manualLayout>
              <c:xMode val="edge"/>
              <c:yMode val="edge"/>
              <c:x val="1.2432010910802647E-2"/>
              <c:y val="7.3203476365531706E-2"/>
            </c:manualLayout>
          </c:layout>
          <c:overlay val="0"/>
        </c:title>
        <c:numFmt formatCode="0.00&quot;Mbps&quot;" sourceLinked="0"/>
        <c:majorTickMark val="out"/>
        <c:minorTickMark val="none"/>
        <c:tickLblPos val="nextTo"/>
        <c:crossAx val="19428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30068048597312"/>
          <c:y val="0.54806442760338603"/>
          <c:w val="0.1685387074703566"/>
          <c:h val="4.6329739975839855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809951881014873"/>
          <c:y val="0.19480351414406533"/>
          <c:w val="0.78714268345884553"/>
          <c:h val="0.53379957713619131"/>
        </c:manualLayout>
      </c:layout>
      <c:lineChart>
        <c:grouping val="stacked"/>
        <c:varyColors val="0"/>
        <c:ser>
          <c:idx val="0"/>
          <c:order val="0"/>
          <c:tx>
            <c:v>B_Frame BitRate_CoreCyc</c:v>
          </c:tx>
          <c:cat>
            <c:numRef>
              <c:f>DDR3_HEVC_ENC_CABAC!$F$226:$F$240</c:f>
              <c:numCache>
                <c:formatCode>0.00_);[Red]\(0.00\)</c:formatCode>
                <c:ptCount val="15"/>
                <c:pt idx="0">
                  <c:v>548.92631999999992</c:v>
                </c:pt>
                <c:pt idx="1">
                  <c:v>215.93016</c:v>
                </c:pt>
                <c:pt idx="2">
                  <c:v>213.52392</c:v>
                </c:pt>
                <c:pt idx="3">
                  <c:v>55.030080000000005</c:v>
                </c:pt>
                <c:pt idx="4">
                  <c:v>54.406559999999999</c:v>
                </c:pt>
                <c:pt idx="5">
                  <c:v>32.27064</c:v>
                </c:pt>
                <c:pt idx="6">
                  <c:v>25.2912</c:v>
                </c:pt>
                <c:pt idx="7">
                  <c:v>17.821919999999999</c:v>
                </c:pt>
                <c:pt idx="8">
                  <c:v>14.414639999999999</c:v>
                </c:pt>
                <c:pt idx="9">
                  <c:v>12.193680000000001</c:v>
                </c:pt>
                <c:pt idx="10">
                  <c:v>8.9676000000000009</c:v>
                </c:pt>
                <c:pt idx="11">
                  <c:v>6.4963199999999999</c:v>
                </c:pt>
                <c:pt idx="12">
                  <c:v>4.9163999999999994</c:v>
                </c:pt>
                <c:pt idx="13">
                  <c:v>3.8308800000000001</c:v>
                </c:pt>
                <c:pt idx="14">
                  <c:v>1.5984</c:v>
                </c:pt>
              </c:numCache>
            </c:numRef>
          </c:cat>
          <c:val>
            <c:numRef>
              <c:f>DDR3_HEVC_ENC_CABAC!$H$226:$H$240</c:f>
              <c:numCache>
                <c:formatCode>0_ </c:formatCode>
                <c:ptCount val="15"/>
                <c:pt idx="0">
                  <c:v>439.41888</c:v>
                </c:pt>
                <c:pt idx="1">
                  <c:v>410.91071999999997</c:v>
                </c:pt>
                <c:pt idx="2">
                  <c:v>410.91071999999997</c:v>
                </c:pt>
                <c:pt idx="3">
                  <c:v>411.89375999999999</c:v>
                </c:pt>
                <c:pt idx="4">
                  <c:v>412.8768</c:v>
                </c:pt>
                <c:pt idx="5">
                  <c:v>414.84287999999998</c:v>
                </c:pt>
                <c:pt idx="6">
                  <c:v>418.77503999999999</c:v>
                </c:pt>
                <c:pt idx="7">
                  <c:v>419.75808000000001</c:v>
                </c:pt>
                <c:pt idx="8">
                  <c:v>421.72415999999998</c:v>
                </c:pt>
                <c:pt idx="9">
                  <c:v>419.75808000000001</c:v>
                </c:pt>
                <c:pt idx="10">
                  <c:v>416.80896000000001</c:v>
                </c:pt>
                <c:pt idx="11">
                  <c:v>416.80896000000001</c:v>
                </c:pt>
                <c:pt idx="12">
                  <c:v>414.84287999999998</c:v>
                </c:pt>
                <c:pt idx="13">
                  <c:v>405.99552</c:v>
                </c:pt>
                <c:pt idx="14">
                  <c:v>394.19903999999997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6080"/>
        <c:axId val="194448000"/>
      </c:lineChart>
      <c:catAx>
        <c:axId val="1944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BitRate</a:t>
                </a:r>
              </a:p>
            </c:rich>
          </c:tx>
          <c:overlay val="0"/>
        </c:title>
        <c:numFmt formatCode="0.00&quot;Mbps&quot;" sourceLinked="0"/>
        <c:majorTickMark val="out"/>
        <c:minorTickMark val="none"/>
        <c:tickLblPos val="nextTo"/>
        <c:crossAx val="194448000"/>
        <c:crosses val="autoZero"/>
        <c:auto val="1"/>
        <c:lblAlgn val="ctr"/>
        <c:lblOffset val="100"/>
        <c:noMultiLvlLbl val="0"/>
      </c:catAx>
      <c:valAx>
        <c:axId val="194448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Core_Freq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8800705467372132E-2"/>
              <c:y val="0.11438911195703186"/>
            </c:manualLayout>
          </c:layout>
          <c:overlay val="0"/>
        </c:title>
        <c:numFmt formatCode="0&quot;MHz&quot;" sourceLinked="0"/>
        <c:majorTickMark val="out"/>
        <c:minorTickMark val="none"/>
        <c:tickLblPos val="nextTo"/>
        <c:crossAx val="1944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73595943558823"/>
          <c:y val="0.64778395219300833"/>
          <c:w val="0.19766483947912877"/>
          <c:h val="4.6387432714862509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158</xdr:row>
      <xdr:rowOff>66674</xdr:rowOff>
    </xdr:from>
    <xdr:to>
      <xdr:col>6</xdr:col>
      <xdr:colOff>142875</xdr:colOff>
      <xdr:row>187</xdr:row>
      <xdr:rowOff>28575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158</xdr:row>
      <xdr:rowOff>76199</xdr:rowOff>
    </xdr:from>
    <xdr:to>
      <xdr:col>12</xdr:col>
      <xdr:colOff>1247775</xdr:colOff>
      <xdr:row>187</xdr:row>
      <xdr:rowOff>28574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190</xdr:row>
      <xdr:rowOff>123823</xdr:rowOff>
    </xdr:from>
    <xdr:to>
      <xdr:col>6</xdr:col>
      <xdr:colOff>1076325</xdr:colOff>
      <xdr:row>221</xdr:row>
      <xdr:rowOff>53067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1438275</xdr:colOff>
      <xdr:row>190</xdr:row>
      <xdr:rowOff>123826</xdr:rowOff>
    </xdr:from>
    <xdr:to>
      <xdr:col>12</xdr:col>
      <xdr:colOff>1515836</xdr:colOff>
      <xdr:row>221</xdr:row>
      <xdr:rowOff>57150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225</xdr:row>
      <xdr:rowOff>171448</xdr:rowOff>
    </xdr:from>
    <xdr:to>
      <xdr:col>6</xdr:col>
      <xdr:colOff>352425</xdr:colOff>
      <xdr:row>255</xdr:row>
      <xdr:rowOff>85725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1524002</xdr:colOff>
      <xdr:row>226</xdr:row>
      <xdr:rowOff>9526</xdr:rowOff>
    </xdr:from>
    <xdr:to>
      <xdr:col>12</xdr:col>
      <xdr:colOff>1057276</xdr:colOff>
      <xdr:row>255</xdr:row>
      <xdr:rowOff>85726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3" name="表9_1516171824" displayName="表9_1516171824" ref="A3:F7" totalsRowShown="0" headerRowDxfId="716">
  <autoFilter ref="A3:F7"/>
  <tableColumns count="6">
    <tableColumn id="1" name="Sequence"/>
    <tableColumn id="2" name="PicType"/>
    <tableColumn id="3" name="Core Cyc#/Frame"/>
    <tableColumn id="4" name="Cpu Cyc#/Frame" dataDxfId="715"/>
    <tableColumn id="5" name="Target Freq. （ for 4K@30fps )" dataDxfId="714">
      <calculatedColumnFormula>表9_1516171824[[#This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9" name="表9_15161718242930313233343540" displayName="表9_15161718242930313233343540" ref="A104:F106" totalsRowShown="0" headerRowDxfId="689">
  <autoFilter ref="A104:F106"/>
  <tableColumns count="6">
    <tableColumn id="1" name="Sequence"/>
    <tableColumn id="2" name="PicType"/>
    <tableColumn id="3" name="Core Cyc#/Frame"/>
    <tableColumn id="4" name="Cpu Cyc#/Frame" dataDxfId="688"/>
    <tableColumn id="5" name="Target Freq. （ for 4K@30fps )" dataDxfId="687">
      <calculatedColumnFormula>表9_15161718242930313233343540[[#This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70" name="表9_1516171824293031323334354043543118171" displayName="表9_1516171824293031323334354043543118171" ref="A122:F125" totalsRowShown="0" headerRowDxfId="299">
  <autoFilter ref="A122:F125"/>
  <tableColumns count="6">
    <tableColumn id="1" name="Sequence"/>
    <tableColumn id="2" name="PicType"/>
    <tableColumn id="3" name="Core Cyc#/Frame" dataDxfId="298"/>
    <tableColumn id="4" name="Cpu Cyc#/Frame" dataDxfId="297"/>
    <tableColumn id="5" name="Target Freq. （ for 4K@30fps )" dataDxfId="296">
      <calculatedColumnFormula>表9_1516171824293031323334354043543118171[[#This Row],[Core Cyc'#/Frame]]*30/1000/1000</calculatedColumnFormula>
    </tableColumn>
    <tableColumn id="6" name="BW (MB)" dataDxfId="295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71" name="表9_151617182429303132333435404142644119172" displayName="表9_151617182429303132333435404142644119172" ref="A151:F158" totalsRowShown="0" headerRowDxfId="294">
  <autoFilter ref="A151:F158"/>
  <tableColumns count="6">
    <tableColumn id="1" name="Sequence"/>
    <tableColumn id="2" name="PicType"/>
    <tableColumn id="3" name="Core Cyc#/Frame" dataDxfId="293"/>
    <tableColumn id="4" name="Cpu Cyc#/Frame" dataDxfId="292"/>
    <tableColumn id="5" name="Target Freq. （ for 4K@30fps )" dataDxfId="291">
      <calculatedColumnFormula>表9_151617182429303132333435404142644119172[[#This Row],[Core Cyc'#/Frame]]*30/1000/1000</calculatedColumnFormula>
    </tableColumn>
    <tableColumn id="6" name="BW (MB)" dataDxfId="290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72" name="表9_15161718242930313221653120173" displayName="表9_15161718242930313221653120173" ref="A59:F65" totalsRowShown="0" headerRowDxfId="289">
  <autoFilter ref="A59:F65"/>
  <tableColumns count="6">
    <tableColumn id="1" name="Sequence"/>
    <tableColumn id="2" name="PicType"/>
    <tableColumn id="3" name="Core Cyc#/Frame" dataDxfId="288"/>
    <tableColumn id="4" name="Cpu Cyc#/Frame" dataDxfId="287"/>
    <tableColumn id="5" name="Target Freq. （ for 4K@30fps )" dataDxfId="286">
      <calculatedColumnFormula>表9_15161718242930313221653120173[[#This Row],[Core Cyc'#/Frame]]*30/1000/1000</calculatedColumnFormula>
    </tableColumn>
    <tableColumn id="6" name="BW (MB)" dataDxfId="285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73" name="表9_15161718242930313233343541754121174" displayName="表9_15161718242930313233343541754121174" ref="A111:F117" totalsRowShown="0" headerRowDxfId="284">
  <autoFilter ref="A111:F117"/>
  <tableColumns count="6">
    <tableColumn id="1" name="Sequence"/>
    <tableColumn id="2" name="PicType"/>
    <tableColumn id="3" name="Core Cyc#/Frame" dataDxfId="283"/>
    <tableColumn id="4" name="Cpu Cyc#/Frame" dataDxfId="282"/>
    <tableColumn id="5" name="Target Freq. （ for 4K@30fps )" dataDxfId="281">
      <calculatedColumnFormula>表9_15161718242930313233343541754121174[[#This Row],[Core Cyc'#/Frame]]*30/1000/1000</calculatedColumnFormula>
    </tableColumn>
    <tableColumn id="6" name="BW (MB)" dataDxfId="280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74" name="表9_15161718242930313233343540414261855122175" displayName="表9_15161718242930313233343540414261855122175" ref="A160:F167" totalsRowShown="0" headerRowDxfId="279">
  <autoFilter ref="A160:F167"/>
  <tableColumns count="6">
    <tableColumn id="1" name="Sequence"/>
    <tableColumn id="2" name="PicType"/>
    <tableColumn id="3" name="Core Cyc#/Frame" dataDxfId="278"/>
    <tableColumn id="4" name="Cpu Cyc#/Frame" dataDxfId="277"/>
    <tableColumn id="5" name="Target Freq. （ for 4K@30fps )" dataDxfId="276">
      <calculatedColumnFormula>表9_15161718242930313233343540414261855122175[[#This Row],[Core Cyc'#/Frame]]*30/1000/1000</calculatedColumnFormula>
    </tableColumn>
    <tableColumn id="6" name="BW (MB)" dataDxfId="275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75" name="表9_15161718242930313233343540414261855122129176" displayName="表9_15161718242930313233343540414261855122129176" ref="A169:F175" totalsRowShown="0" headerRowDxfId="274">
  <autoFilter ref="A169:F175"/>
  <tableColumns count="6">
    <tableColumn id="1" name="Sequence"/>
    <tableColumn id="2" name="PicType"/>
    <tableColumn id="3" name="Core Cyc#/Frame" dataDxfId="273"/>
    <tableColumn id="4" name="Cpu Cyc#/Frame" dataDxfId="272"/>
    <tableColumn id="5" name="Target Freq. （ for 4K@30fps )" dataDxfId="271">
      <calculatedColumnFormula>表9_15161718242930313233343540414261855122129176[[#This Row],[Core Cyc'#/Frame]]*30/1000/1000</calculatedColumnFormula>
    </tableColumn>
    <tableColumn id="6" name="BW (MB)" dataDxfId="270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76" name="表9_151617182429303132333435404142366747125177" displayName="表9_151617182429303132333435404142366747125177" ref="A213:F218" totalsRowShown="0" headerRowDxfId="269">
  <autoFilter ref="A213:F218"/>
  <tableColumns count="6">
    <tableColumn id="1" name="Sequence"/>
    <tableColumn id="2" name="PicType"/>
    <tableColumn id="3" name="Core Cyc#/Frame"/>
    <tableColumn id="4" name="Cpu Cyc#/Frame" dataDxfId="268"/>
    <tableColumn id="5" name="Target Freq. （ for 4K@30fps )" dataDxfId="267">
      <calculatedColumnFormula>表9_151617182429303132333435404142366747125177[[#This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77" name="表9_1516171824293031323334354041426447149127178" displayName="表9_1516171824293031323334354041426447149127178" ref="A220:F226" totalsRowShown="0" headerRowDxfId="266">
  <autoFilter ref="A220:F226"/>
  <tableColumns count="6">
    <tableColumn id="1" name="Sequence"/>
    <tableColumn id="2" name="PicType"/>
    <tableColumn id="3" name="Core Cyc#/Frame"/>
    <tableColumn id="4" name="Cpu Cyc#/Frame" dataDxfId="265"/>
    <tableColumn id="5" name="Target Freq. （ for 4K@30fps )" dataDxfId="264">
      <calculatedColumnFormula>表9_1516171824293031323334354041426447149127178[[#This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78" name="表9_151617182429303132333435404142618558250128179" displayName="表9_151617182429303132333435404142618558250128179" ref="A228:F233" totalsRowShown="0" headerRowDxfId="263">
  <autoFilter ref="A228:F233"/>
  <tableColumns count="6">
    <tableColumn id="1" name="Sequence"/>
    <tableColumn id="2" name="PicType"/>
    <tableColumn id="3" name="Core Cyc#/Frame"/>
    <tableColumn id="4" name="Cpu Cyc#/Frame" dataDxfId="262"/>
    <tableColumn id="5" name="Target Freq. （ for 4K@30fps )" dataDxfId="261"/>
    <tableColumn id="6" name="BW (MB)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79" name="表9_15161718242930313233343540276545123180" displayName="表9_15161718242930313233343540276545123180" ref="A200:F203" totalsRowShown="0" headerRowDxfId="260">
  <autoFilter ref="A200:F203"/>
  <tableColumns count="6">
    <tableColumn id="1" name="Sequence"/>
    <tableColumn id="2" name="PicType"/>
    <tableColumn id="3" name="Core Cyc#/Frame"/>
    <tableColumn id="4" name="Cpu Cyc#/Frame" dataDxfId="259"/>
    <tableColumn id="5" name="Target Freq. （ for 4K@30fps )" dataDxfId="258"/>
    <tableColumn id="6" name="BW (MB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表9_1516171824293031323334354041" displayName="表9_1516171824293031323334354041" ref="A110:F113" totalsRowShown="0" headerRowDxfId="686">
  <autoFilter ref="A110:F113"/>
  <tableColumns count="6">
    <tableColumn id="1" name="Sequence"/>
    <tableColumn id="2" name="PicType"/>
    <tableColumn id="3" name="Core Cyc#/Frame"/>
    <tableColumn id="4" name="Cpu Cyc#/Frame" dataDxfId="685"/>
    <tableColumn id="5" name="Target Freq. （ for 4K@30fps )" dataDxfId="684">
      <calculatedColumnFormula>表9_1516171824293031323334354041[[#This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80" name="表9_1516171824293031323334354041286646124181" displayName="表9_1516171824293031323334354041286646124181" ref="A206:F210" totalsRowShown="0" headerRowDxfId="257">
  <autoFilter ref="A206:F210"/>
  <tableColumns count="6">
    <tableColumn id="1" name="Sequence"/>
    <tableColumn id="2" name="PicType"/>
    <tableColumn id="3" name="Core Cyc#/Frame"/>
    <tableColumn id="4" name="Cpu Cyc#/Frame" dataDxfId="256"/>
    <tableColumn id="5" name="Target Freq. （ for 4K@30fps )" dataDxfId="255"/>
    <tableColumn id="6" name="BW (MB)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81" name="表9_15161718242930313233343540435437048126182" displayName="表9_15161718242930313233343540435437048126182" ref="A195:F198" totalsRowShown="0" headerRowDxfId="254">
  <autoFilter ref="A195:F198"/>
  <tableColumns count="6">
    <tableColumn id="1" name="Sequence"/>
    <tableColumn id="2" name="PicType"/>
    <tableColumn id="3" name="Core Cyc#/Frame"/>
    <tableColumn id="4" name="Cpu Cyc#/Frame" dataDxfId="253"/>
    <tableColumn id="5" name="Target Freq. （ for 4K@30fps )" dataDxfId="252">
      <calculatedColumnFormula>表9_15161718242930313233343540435437048126182[[#This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83" name="表9_15161718242930313233343540414261855122129176184" displayName="表9_15161718242930313233343540414261855122129176184" ref="A179:F185" totalsRowShown="0" headerRowDxfId="251">
  <autoFilter ref="A179:F185"/>
  <tableColumns count="6">
    <tableColumn id="1" name="Sequence"/>
    <tableColumn id="2" name="PicType"/>
    <tableColumn id="3" name="Core Cyc#/Frame" dataDxfId="250"/>
    <tableColumn id="4" name="Cpu Cyc#/Frame" dataDxfId="249"/>
    <tableColumn id="5" name="Target Freq. （ for 4K@30fps )" dataDxfId="248">
      <calculatedColumnFormula>表9_15161718242930313233343540414261855122129176184[[#This Row],[Core Cyc'#/Frame]]*30/1000/1000</calculatedColumnFormula>
    </tableColumn>
    <tableColumn id="6" name="BW (MB)" dataDxfId="247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82" name="表9_15161718242930313233343540414261855122129176183" displayName="表9_15161718242930313233343540414261855122129176183" ref="A4:I10" totalsRowShown="0" headerRowDxfId="246">
  <autoFilter ref="A4:I10"/>
  <tableColumns count="9">
    <tableColumn id="1" name="Sequence"/>
    <tableColumn id="2" name="PicType"/>
    <tableColumn id="3" name="QP" dataDxfId="245"/>
    <tableColumn id="4" name="Bytes_Count/Frame" dataDxfId="244"/>
    <tableColumn id="11" name="Hex2Dec" dataDxfId="243">
      <calculatedColumnFormula>HEX2DEC(D5)</calculatedColumnFormula>
    </tableColumn>
    <tableColumn id="9" name="Bit_Rate(Mbps)" dataDxfId="242">
      <calculatedColumnFormula>E5*8*30/1000/1000</calculatedColumnFormula>
    </tableColumn>
    <tableColumn id="7" name="Core Cycle#/Frame" dataDxfId="241"/>
    <tableColumn id="8" name="Freq MHz (4K@30fps )" dataDxfId="240">
      <calculatedColumnFormula>表9_15161718242930313233343540414261855122129176183[[#This Row],[Core Cycle'#/Frame]]*30/1000/1000</calculatedColumnFormula>
    </tableColumn>
    <tableColumn id="6" name="PSNR(db)" dataDxfId="23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51" name="表9_1516171824293031323334354041426185512212917618352" displayName="表9_1516171824293031323334354041426185512212917618352" ref="A14:I20" totalsRowShown="0" headerRowDxfId="238">
  <autoFilter ref="A14:I20"/>
  <tableColumns count="9">
    <tableColumn id="1" name="Sequence"/>
    <tableColumn id="2" name="PicType"/>
    <tableColumn id="3" name="QP" dataDxfId="237"/>
    <tableColumn id="4" name="Bytes_Count/Frame" dataDxfId="236"/>
    <tableColumn id="11" name="Hex2Dec" dataDxfId="235">
      <calculatedColumnFormula>HEX2DEC(D15)</calculatedColumnFormula>
    </tableColumn>
    <tableColumn id="9" name="Bit_Rate(Mbps)" dataDxfId="234">
      <calculatedColumnFormula>E15*8*30/1000/1000</calculatedColumnFormula>
    </tableColumn>
    <tableColumn id="7" name="Core Cycle#/Frame" dataDxfId="233"/>
    <tableColumn id="8" name="Freq MHz (4K@30fps )" dataDxfId="232">
      <calculatedColumnFormula>表9_1516171824293031323334354041426185512212917618352[[#This Row],[Core Cycle'#/Frame]]*30/1000/1000</calculatedColumnFormula>
    </tableColumn>
    <tableColumn id="6" name="PSNR(db)" dataDxfId="231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55" name="表9_151617182429303132333435404142618551221291761835256" displayName="表9_151617182429303132333435404142618551221291761835256" ref="A24:I30" totalsRowShown="0" headerRowDxfId="230">
  <autoFilter ref="A24:I30"/>
  <tableColumns count="9">
    <tableColumn id="1" name="Sequence"/>
    <tableColumn id="2" name="PicType"/>
    <tableColumn id="3" name="QP" dataDxfId="229"/>
    <tableColumn id="4" name="Bytes_Count/Frame" dataDxfId="228"/>
    <tableColumn id="11" name="Hex2Dec" dataDxfId="227">
      <calculatedColumnFormula>HEX2DEC(D25)</calculatedColumnFormula>
    </tableColumn>
    <tableColumn id="9" name="Bit_Rate(Mbps)" dataDxfId="226">
      <calculatedColumnFormula>E25*8*30/1000/1000</calculatedColumnFormula>
    </tableColumn>
    <tableColumn id="7" name="Core Cycle#/Frame" dataDxfId="225"/>
    <tableColumn id="8" name="Freq MHz (4K@30fps )" dataDxfId="224">
      <calculatedColumnFormula>表9_151617182429303132333435404142618551221291761835256[[#This Row],[Core Cycle'#/Frame]]*30/1000/1000</calculatedColumnFormula>
    </tableColumn>
    <tableColumn id="6" name="PSNR(db)" dataDxfId="223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56" name="表9_15161718242930313233343540414261855122129176183525657" displayName="表9_15161718242930313233343540414261855122129176183525657" ref="A34:I40" totalsRowShown="0" headerRowDxfId="222">
  <autoFilter ref="A34:I40"/>
  <tableColumns count="9">
    <tableColumn id="1" name="Sequence"/>
    <tableColumn id="2" name="PicType"/>
    <tableColumn id="3" name="QP" dataDxfId="221"/>
    <tableColumn id="4" name="Bytes_Count/Frame" dataDxfId="220"/>
    <tableColumn id="11" name="Hex2Dec" dataDxfId="219">
      <calculatedColumnFormula>HEX2DEC(D35)</calculatedColumnFormula>
    </tableColumn>
    <tableColumn id="9" name="Bit_Rate(Mbps)" dataDxfId="218">
      <calculatedColumnFormula>E35*8*30/1000/1000</calculatedColumnFormula>
    </tableColumn>
    <tableColumn id="7" name="Core Cycle#/Frame" dataDxfId="217"/>
    <tableColumn id="8" name="Freq MHz (4K@30fps )" dataDxfId="216">
      <calculatedColumnFormula>表9_15161718242930313233343540414261855122129176183525657[[#This Row],[Core Cycle'#/Frame]]*30/1000/1000</calculatedColumnFormula>
    </tableColumn>
    <tableColumn id="6" name="PSNR(db)" dataDxfId="215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57" name="表9_1516171824293031323334354041426185512212917618352565758" displayName="表9_1516171824293031323334354041426185512212917618352565758" ref="A44:I50" totalsRowShown="0" headerRowDxfId="214">
  <autoFilter ref="A44:I50"/>
  <tableColumns count="9">
    <tableColumn id="1" name="Sequence"/>
    <tableColumn id="2" name="PicType"/>
    <tableColumn id="3" name="QP" dataDxfId="213"/>
    <tableColumn id="4" name="Bytes_Count/Frame" dataDxfId="212"/>
    <tableColumn id="11" name="Hex2Dec" dataDxfId="211">
      <calculatedColumnFormula>HEX2DEC(D45)</calculatedColumnFormula>
    </tableColumn>
    <tableColumn id="9" name="Bit_Rate(Mbps)" dataDxfId="210">
      <calculatedColumnFormula>E45*8*30/1000/1000</calculatedColumnFormula>
    </tableColumn>
    <tableColumn id="7" name="Core Cycle#/Frame" dataDxfId="209"/>
    <tableColumn id="8" name="Freq MHz (4K@30fps )" dataDxfId="208">
      <calculatedColumnFormula>表9_1516171824293031323334354041426185512212917618352565758[[#This Row],[Core Cycle'#/Frame]]*30/1000/1000</calculatedColumnFormula>
    </tableColumn>
    <tableColumn id="6" name="PSNR(db)" dataDxfId="207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58" name="表9_151617182429303132333435404142618551221291761835256575859" displayName="表9_151617182429303132333435404142618551221291761835256575859" ref="A54:I60" totalsRowShown="0" headerRowDxfId="206">
  <autoFilter ref="A54:I60"/>
  <tableColumns count="9">
    <tableColumn id="1" name="Sequence"/>
    <tableColumn id="2" name="PicType"/>
    <tableColumn id="3" name="QP" dataDxfId="205"/>
    <tableColumn id="4" name="Bytes_Count/Frame" dataDxfId="204"/>
    <tableColumn id="11" name="Hex2Dec" dataDxfId="203">
      <calculatedColumnFormula>HEX2DEC(D55)</calculatedColumnFormula>
    </tableColumn>
    <tableColumn id="9" name="Bit_Rate(Mbps)" dataDxfId="202">
      <calculatedColumnFormula>E55*8*30/1000/1000</calculatedColumnFormula>
    </tableColumn>
    <tableColumn id="7" name="Core Cycle#/Frame" dataDxfId="201"/>
    <tableColumn id="8" name="Freq MHz (4K@30fps )" dataDxfId="200">
      <calculatedColumnFormula>表9_151617182429303132333435404142618551221291761835256575859[[#This Row],[Core Cycle'#/Frame]]*30/1000/1000</calculatedColumnFormula>
    </tableColumn>
    <tableColumn id="6" name="PSNR(db)" dataDxfId="199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59" name="表9_15161718242930313233343540414261855122129176183525657585960" displayName="表9_15161718242930313233343540414261855122129176183525657585960" ref="A64:I70" totalsRowShown="0" headerRowDxfId="198">
  <autoFilter ref="A64:I70"/>
  <tableColumns count="9">
    <tableColumn id="1" name="Sequence"/>
    <tableColumn id="2" name="PicType"/>
    <tableColumn id="3" name="QP" dataDxfId="197"/>
    <tableColumn id="4" name="Bytes_Count/Frame" dataDxfId="196"/>
    <tableColumn id="11" name="Hex2Dec" dataDxfId="195">
      <calculatedColumnFormula>HEX2DEC(D65)</calculatedColumnFormula>
    </tableColumn>
    <tableColumn id="9" name="Bit_Rate(Mbps)" dataDxfId="194">
      <calculatedColumnFormula>E65*8*30/1000/1000</calculatedColumnFormula>
    </tableColumn>
    <tableColumn id="7" name="Core Cycle#/Frame" dataDxfId="193"/>
    <tableColumn id="8" name="Freq MHz (4K@30fps )" dataDxfId="192">
      <calculatedColumnFormula>表9_15161718242930313233343540414261855122129176183525657585960[[#This Row],[Core Cycle'#/Frame]]*30/1000/1000</calculatedColumnFormula>
    </tableColumn>
    <tableColumn id="6" name="PSNR(db)" dataDxfId="19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表9_151617182429303132333435404142" displayName="表9_151617182429303132333435404142" ref="A117:F122" totalsRowShown="0" headerRowDxfId="683">
  <autoFilter ref="A117:F122"/>
  <tableColumns count="6">
    <tableColumn id="1" name="Sequence"/>
    <tableColumn id="2" name="PicType"/>
    <tableColumn id="3" name="Core Cyc#/Frame"/>
    <tableColumn id="4" name="Cpu Cyc#/Frame" dataDxfId="682"/>
    <tableColumn id="5" name="Target Freq. （ for 4K@30fps )" dataDxfId="681">
      <calculatedColumnFormula>表9_151617182429303132333435404142[[#This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60" name="表9_1516171824293031323334354041426185512212917618352565758596061" displayName="表9_1516171824293031323334354041426185512212917618352565758596061" ref="A74:I80" totalsRowShown="0" headerRowDxfId="190">
  <autoFilter ref="A74:I80"/>
  <tableColumns count="9">
    <tableColumn id="1" name="Sequence"/>
    <tableColumn id="2" name="PicType"/>
    <tableColumn id="3" name="QP" dataDxfId="189"/>
    <tableColumn id="4" name="Bytes_Count/Frame" dataDxfId="188"/>
    <tableColumn id="11" name="Hex2Dec" dataDxfId="187">
      <calculatedColumnFormula>HEX2DEC(D75)</calculatedColumnFormula>
    </tableColumn>
    <tableColumn id="9" name="Bit_Rate(Mbps)" dataDxfId="186">
      <calculatedColumnFormula>E75*8*30/1000/1000</calculatedColumnFormula>
    </tableColumn>
    <tableColumn id="7" name="Core Cycle#/Frame" dataDxfId="185"/>
    <tableColumn id="8" name="Freq MHz (4K@30fps )" dataDxfId="184">
      <calculatedColumnFormula>表9_1516171824293031323334354041426185512212917618352565758596061[[#This Row],[Core Cycle'#/Frame]]*30/1000/1000</calculatedColumnFormula>
    </tableColumn>
    <tableColumn id="6" name="PSNR(db)" dataDxfId="183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61" name="表9_151617182429303132333435404142618551221291761835256575859606162" displayName="表9_151617182429303132333435404142618551221291761835256575859606162" ref="A84:I90" totalsRowShown="0" headerRowDxfId="182">
  <autoFilter ref="A84:I90"/>
  <tableColumns count="9">
    <tableColumn id="1" name="Sequence"/>
    <tableColumn id="2" name="PicType"/>
    <tableColumn id="3" name="QP" dataDxfId="181"/>
    <tableColumn id="4" name="Bytes_Count/Frame" dataDxfId="180"/>
    <tableColumn id="11" name="Hex2Dec" dataDxfId="179">
      <calculatedColumnFormula>HEX2DEC(D85)</calculatedColumnFormula>
    </tableColumn>
    <tableColumn id="9" name="Bit_Rate(Mbps)" dataDxfId="178">
      <calculatedColumnFormula>E85*8*30/1000/1000</calculatedColumnFormula>
    </tableColumn>
    <tableColumn id="7" name="Core Cycle#/Frame" dataDxfId="177"/>
    <tableColumn id="8" name="Freq MHz (4K@30fps )" dataDxfId="176">
      <calculatedColumnFormula>表9_151617182429303132333435404142618551221291761835256575859606162[[#This Row],[Core Cycle'#/Frame]]*30/1000/1000</calculatedColumnFormula>
    </tableColumn>
    <tableColumn id="6" name="PSNR(db)" dataDxfId="175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62" name="表9_15161718242930313233343540414261855122129176183525657585960616263" displayName="表9_15161718242930313233343540414261855122129176183525657585960616263" ref="A94:I100" totalsRowShown="0" headerRowDxfId="174">
  <autoFilter ref="A94:I100"/>
  <tableColumns count="9">
    <tableColumn id="1" name="Sequence"/>
    <tableColumn id="2" name="PicType"/>
    <tableColumn id="3" name="QP" dataDxfId="173"/>
    <tableColumn id="4" name="Bytes_Count/Frame" dataDxfId="172"/>
    <tableColumn id="11" name="Hex2Dec" dataDxfId="171">
      <calculatedColumnFormula>HEX2DEC(D95)</calculatedColumnFormula>
    </tableColumn>
    <tableColumn id="9" name="Bit_Rate(Mbps)" dataDxfId="170">
      <calculatedColumnFormula>E95*8*30/1000/1000</calculatedColumnFormula>
    </tableColumn>
    <tableColumn id="7" name="Core Cycle#/Frame" dataDxfId="169"/>
    <tableColumn id="8" name="Freq MHz (4K@30fps )" dataDxfId="168">
      <calculatedColumnFormula>表9_15161718242930313233343540414261855122129176183525657585960616263[[#This Row],[Core Cycle'#/Frame]]*30/1000/1000</calculatedColumnFormula>
    </tableColumn>
    <tableColumn id="6" name="PSNR(db)" dataDxfId="167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63" name="表9_1516171824293031323334354041426185512212917618352565758596061626364" displayName="表9_1516171824293031323334354041426185512212917618352565758596061626364" ref="A104:I110" totalsRowShown="0" headerRowDxfId="166">
  <autoFilter ref="A104:I110"/>
  <tableColumns count="9">
    <tableColumn id="1" name="Sequence"/>
    <tableColumn id="2" name="PicType"/>
    <tableColumn id="3" name="QP" dataDxfId="165"/>
    <tableColumn id="4" name="Bytes_Count/Frame" dataDxfId="164"/>
    <tableColumn id="11" name="Hex2Dec" dataDxfId="163">
      <calculatedColumnFormula>HEX2DEC(D105)</calculatedColumnFormula>
    </tableColumn>
    <tableColumn id="9" name="Bit_Rate(Mbps)" dataDxfId="162">
      <calculatedColumnFormula>E105*8*30/1000/1000</calculatedColumnFormula>
    </tableColumn>
    <tableColumn id="7" name="Core Cycle#/Frame" dataDxfId="161"/>
    <tableColumn id="8" name="Freq MHz (4K@30fps )" dataDxfId="160">
      <calculatedColumnFormula>表9_1516171824293031323334354041426185512212917618352565758596061626364[[#This Row],[Core Cycle'#/Frame]]*30/1000/1000</calculatedColumnFormula>
    </tableColumn>
    <tableColumn id="6" name="PSNR(db)" dataDxfId="159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64" name="表9_151617182429303132333435404142618551221291761835256575859606162636465" displayName="表9_151617182429303132333435404142618551221291761835256575859606162636465" ref="A114:I120" totalsRowShown="0" headerRowDxfId="158">
  <autoFilter ref="A114:I120"/>
  <tableColumns count="9">
    <tableColumn id="1" name="Sequence"/>
    <tableColumn id="2" name="PicType"/>
    <tableColumn id="3" name="QP" dataDxfId="157"/>
    <tableColumn id="4" name="Bytes_Count/Frame" dataDxfId="156"/>
    <tableColumn id="11" name="Hex2Dec" dataDxfId="155">
      <calculatedColumnFormula>HEX2DEC(D115)</calculatedColumnFormula>
    </tableColumn>
    <tableColumn id="9" name="Bit_Rate(Mbps)" dataDxfId="154">
      <calculatedColumnFormula>E115*8*30/1000/1000</calculatedColumnFormula>
    </tableColumn>
    <tableColumn id="7" name="Core Cycle#/Frame" dataDxfId="153"/>
    <tableColumn id="8" name="Freq MHz (4K@30fps )" dataDxfId="152">
      <calculatedColumnFormula>表9_151617182429303132333435404142618551221291761835256575859606162636465[[#This Row],[Core Cycle'#/Frame]]*30/1000/1000</calculatedColumnFormula>
    </tableColumn>
    <tableColumn id="6" name="PSNR(db)" dataDxfId="151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65" name="表9_15161718242930313233343540414261855122129176183525657585960616263646566" displayName="表9_15161718242930313233343540414261855122129176183525657585960616263646566" ref="A124:I130" totalsRowShown="0" headerRowDxfId="150">
  <autoFilter ref="A124:I130"/>
  <tableColumns count="9">
    <tableColumn id="1" name="Sequence"/>
    <tableColumn id="2" name="PicType"/>
    <tableColumn id="3" name="QP" dataDxfId="149"/>
    <tableColumn id="4" name="Bytes_Count/Frame" dataDxfId="148"/>
    <tableColumn id="11" name="Hex2Dec" dataDxfId="147">
      <calculatedColumnFormula>HEX2DEC(D125)</calculatedColumnFormula>
    </tableColumn>
    <tableColumn id="9" name="Bit_Rate(Mbps)" dataDxfId="146">
      <calculatedColumnFormula>E125*8*30/1000/1000</calculatedColumnFormula>
    </tableColumn>
    <tableColumn id="7" name="Core Cycle#/Frame" dataDxfId="145"/>
    <tableColumn id="8" name="Freq MHz (4K@30fps )" dataDxfId="144">
      <calculatedColumnFormula>表9_15161718242930313233343540414261855122129176183525657585960616263646566[[#This Row],[Core Cycle'#/Frame]]*30/1000/1000</calculatedColumnFormula>
    </tableColumn>
    <tableColumn id="6" name="PSNR(db)" dataDxfId="143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66" name="表9_1516171824293031323334354041426185512212917618352565758596061626364656667" displayName="表9_1516171824293031323334354041426185512212917618352565758596061626364656667" ref="A134:I139" totalsRowShown="0" headerRowDxfId="142">
  <autoFilter ref="A134:I139"/>
  <tableColumns count="9">
    <tableColumn id="1" name="Sequence"/>
    <tableColumn id="2" name="PicType"/>
    <tableColumn id="3" name="QP" dataDxfId="141"/>
    <tableColumn id="4" name="Bytes_Count/Frame" dataDxfId="140"/>
    <tableColumn id="11" name="Hex2Dec" dataDxfId="139">
      <calculatedColumnFormula>HEX2DEC(D135)</calculatedColumnFormula>
    </tableColumn>
    <tableColumn id="9" name="Bit_Rate(Mbps)" dataDxfId="138">
      <calculatedColumnFormula>E135*8*30/1000/1000</calculatedColumnFormula>
    </tableColumn>
    <tableColumn id="7" name="Core Cycle#/Frame" dataDxfId="137"/>
    <tableColumn id="8" name="Freq MHz (4K@30fps )" dataDxfId="136">
      <calculatedColumnFormula>表9_1516171824293031323334354041426185512212917618352565758596061626364656667[[#This Row],[Core Cycle'#/Frame]]*30/1000/1000</calculatedColumnFormula>
    </tableColumn>
    <tableColumn id="6" name="PSNR(db)" dataDxfId="135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67" name="表9_151617182429303132333435404142618551221291761835256575859606162636465666768" displayName="表9_151617182429303132333435404142618551221291761835256575859606162636465666768" ref="A143:I148" totalsRowShown="0" headerRowDxfId="134">
  <autoFilter ref="A143:I148"/>
  <tableColumns count="9">
    <tableColumn id="1" name="Sequence"/>
    <tableColumn id="2" name="PicType"/>
    <tableColumn id="3" name="QP" dataDxfId="133"/>
    <tableColumn id="4" name="Bytes_Count/Frame" dataDxfId="132"/>
    <tableColumn id="11" name="Hex2Dec" dataDxfId="131">
      <calculatedColumnFormula>HEX2DEC(D144)</calculatedColumnFormula>
    </tableColumn>
    <tableColumn id="9" name="Bit_Rate(Mbps)" dataDxfId="130">
      <calculatedColumnFormula>E144*8*30/1000/1000</calculatedColumnFormula>
    </tableColumn>
    <tableColumn id="7" name="Core Cycle#/Frame" dataDxfId="129"/>
    <tableColumn id="8" name="Freq MHz (4K@30fps )" dataDxfId="128">
      <calculatedColumnFormula>表9_151617182429303132333435404142618551221291761835256575859606162636465666768[[#This Row],[Core Cycle'#/Frame]]*30/1000/1000</calculatedColumnFormula>
    </tableColumn>
    <tableColumn id="6" name="PSNR(db)" dataDxfId="127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68" name="表9_15161718242930313233343540414261855122129176183525657585960616263646566676869" displayName="表9_15161718242930313233343540414261855122129176183525657585960616263646566676869" ref="A156:I172" totalsRowShown="0" headerRowDxfId="126">
  <autoFilter ref="A156:I172"/>
  <sortState ref="A157:I172">
    <sortCondition ref="C156:C172"/>
  </sortState>
  <tableColumns count="9">
    <tableColumn id="1" name="Sequence"/>
    <tableColumn id="2" name="PicType"/>
    <tableColumn id="3" name="QP" dataDxfId="125"/>
    <tableColumn id="4" name="Bytes_Count/Frame" dataDxfId="124"/>
    <tableColumn id="11" name="Hex2Dec" dataDxfId="123">
      <calculatedColumnFormula>HEX2DEC(D157)</calculatedColumnFormula>
    </tableColumn>
    <tableColumn id="9" name="Bit_Rate(Mbps)" dataDxfId="122">
      <calculatedColumnFormula>E157*30/1000/1000</calculatedColumnFormula>
    </tableColumn>
    <tableColumn id="7" name="Core Cycle#/Frame" dataDxfId="121"/>
    <tableColumn id="8" name="Freq MHz (4K@30fps )" dataDxfId="120">
      <calculatedColumnFormula>表9_15161718242930313233343540414261855122129176183525657585960616263646566676869[[#This Row],[Core Cycle'#/Frame]]*30/1000/1000</calculatedColumnFormula>
    </tableColumn>
    <tableColumn id="6" name="PSNR(db)" dataDxfId="119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69" name="表69" displayName="表69" ref="A189:I204" totalsRowShown="0" headerRowDxfId="118" dataDxfId="116" headerRowBorderDxfId="117" tableBorderDxfId="115" totalsRowBorderDxfId="114">
  <autoFilter ref="A189:I204"/>
  <sortState ref="A190:I204">
    <sortCondition ref="C189:C204"/>
  </sortState>
  <tableColumns count="9">
    <tableColumn id="1" name="Sequence" dataDxfId="113"/>
    <tableColumn id="2" name="PicType" dataDxfId="112"/>
    <tableColumn id="3" name="QP" dataDxfId="111"/>
    <tableColumn id="4" name="Bytes_Count/Frame" dataDxfId="110"/>
    <tableColumn id="5" name="Hex2Dec" dataDxfId="109">
      <calculatedColumnFormula>HEX2DEC(D190)</calculatedColumnFormula>
    </tableColumn>
    <tableColumn id="6" name="Bit_Rate(Mbps)" dataDxfId="108">
      <calculatedColumnFormula>E190*8*30/1000/1000</calculatedColumnFormula>
    </tableColumn>
    <tableColumn id="7" name="Core Cycle#/Frame" dataDxfId="107"/>
    <tableColumn id="8" name="Freq MHz (4K@30fps )" dataDxfId="106">
      <calculatedColumnFormula>表69[[#This Row],[Core Cycle'#/Frame]]*30/1000/1000</calculatedColumnFormula>
    </tableColumn>
    <tableColumn id="9" name="PSNR(db)" dataDxfId="10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表9_1516171824293031322" displayName="表9_1516171824293031322" ref="A37:F42" totalsRowShown="0" headerRowDxfId="680">
  <autoFilter ref="A37:F42"/>
  <tableColumns count="6">
    <tableColumn id="1" name="Sequence"/>
    <tableColumn id="2" name="PicType"/>
    <tableColumn id="3" name="Core Cyc#/Frame"/>
    <tableColumn id="4" name="Cpu Cyc#/Frame" dataDxfId="679"/>
    <tableColumn id="5" name="Target Freq. （ for 4K@30fps )" dataDxfId="678">
      <calculatedColumnFormula>表9_1516171824293031322[[#This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id="70" name="表69_71" displayName="表69_71" ref="A225:I240" totalsRowShown="0" headerRowDxfId="104" dataDxfId="102" headerRowBorderDxfId="103" tableBorderDxfId="101" totalsRowBorderDxfId="100">
  <autoFilter ref="A225:I240"/>
  <sortState ref="A240:I254">
    <sortCondition ref="C240"/>
  </sortState>
  <tableColumns count="9">
    <tableColumn id="1" name="Sequence" dataDxfId="99"/>
    <tableColumn id="2" name="PicType" dataDxfId="98"/>
    <tableColumn id="3" name="QP" dataDxfId="97"/>
    <tableColumn id="4" name="Bytes_Count/Frame" dataDxfId="96"/>
    <tableColumn id="5" name="Hex2Dec" dataDxfId="95">
      <calculatedColumnFormula>HEX2DEC(表69_71[[#This Row],[Bytes_Count/Frame]])</calculatedColumnFormula>
    </tableColumn>
    <tableColumn id="6" name="Bit_Rate(Mbps)" dataDxfId="94">
      <calculatedColumnFormula>表69_71[[#This Row],[Hex2Dec]]*8*30/1000/1000</calculatedColumnFormula>
    </tableColumn>
    <tableColumn id="7" name="Core Cycle#/Frame" dataDxfId="93"/>
    <tableColumn id="8" name="Freq MHz. (4K@30fps )" dataDxfId="92">
      <calculatedColumnFormula>表69_71[[#This Row],[Core Cycle'#/Frame]]*30/1000/1000</calculatedColumnFormula>
    </tableColumn>
    <tableColumn id="9" name="PSNR(db)" dataDxfId="91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76" name="表9_1516171824293031323334354041426185512212917618377" displayName="表9_1516171824293031323334354041426185512212917618377" ref="A4:K14" totalsRowShown="0" headerRowDxfId="90">
  <autoFilter ref="A4:K14"/>
  <tableColumns count="11">
    <tableColumn id="1" name="Sequence"/>
    <tableColumn id="2" name="PicType"/>
    <tableColumn id="3" name="QP" dataDxfId="89"/>
    <tableColumn id="4" name="Bytes_Count/Frame" dataDxfId="88"/>
    <tableColumn id="9" name="Bit_Rate(Mbps)" dataDxfId="87">
      <calculatedColumnFormula>表9_1516171824293031323334354041426185512212917618377[[#This Row],[Bytes_Count/Frame]]*8*30/1024/1024</calculatedColumnFormula>
    </tableColumn>
    <tableColumn id="7" name="Core Cycle_x000a_#/Frame" dataDxfId="86"/>
    <tableColumn id="8" name="Freq MHz _x000a_(4K@30fps )" dataDxfId="85">
      <calculatedColumnFormula>表9_1516171824293031323334354041426185512212917618377[[#This Row],[Core Cycle
'#/Frame]]*30/1000/1000</calculatedColumnFormula>
    </tableColumn>
    <tableColumn id="10" name="Cpu Cycle _x000a_#/Frame" dataDxfId="84"/>
    <tableColumn id="12" name="Freq MHz _x000a_(4K@30fps )2" dataDxfId="83" dataCellStyle="常规 2">
      <calculatedColumnFormula>表9_1516171824293031323334354041426185512212917618377[[#This Row],[Cpu Cycle 
'#/Frame]]*30/1000/1000</calculatedColumnFormula>
    </tableColumn>
    <tableColumn id="5" name="BandWidth_x000a_(MBytes)" dataDxfId="82"/>
    <tableColumn id="6" name="PSNR(db)" dataDxfId="81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77" name="表9_151617182429303132333435404142618551221291761837778" displayName="表9_151617182429303132333435404142618551221291761837778" ref="A16:K26" totalsRowShown="0">
  <autoFilter ref="A16:K26"/>
  <tableColumns count="11">
    <tableColumn id="1" name="Sequence"/>
    <tableColumn id="2" name="PicType"/>
    <tableColumn id="3" name="QP" dataDxfId="80"/>
    <tableColumn id="4" name="Bytes_Count/Frame" dataDxfId="79"/>
    <tableColumn id="9" name="Bit_Rate(Mbps)" dataDxfId="78">
      <calculatedColumnFormula>表9_151617182429303132333435404142618551221291761837778[[#This Row],[Bytes_Count/Frame]]*8*30/1024/1024</calculatedColumnFormula>
    </tableColumn>
    <tableColumn id="7" name="Core Cycle_x000a_#/Frame" dataDxfId="77"/>
    <tableColumn id="8" name="Freq MHz _x000a_(4K@30fps )" dataDxfId="76">
      <calculatedColumnFormula>表9_151617182429303132333435404142618551221291761837778[[#This Row],[Core Cycle
'#/Frame]]*30/1000/1000</calculatedColumnFormula>
    </tableColumn>
    <tableColumn id="10" name="Cpu Cycle _x000a_#/Frame" dataDxfId="75"/>
    <tableColumn id="11" name="Freq MHz _x000a_(4K@30fps )2" dataDxfId="74" dataCellStyle="常规 2">
      <calculatedColumnFormula>表9_151617182429303132333435404142618551221291761837778[[#This Row],[Cpu Cycle 
'#/Frame]]*30/1000/1000</calculatedColumnFormula>
    </tableColumn>
    <tableColumn id="5" name="BandWidth_x000a_(MBytes)" dataDxfId="73"/>
    <tableColumn id="6" name="PSNR(db)" dataDxfId="72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78" name="表9_15161718242930313233343540414261855122129176183777879" displayName="表9_15161718242930313233343540414261855122129176183777879" ref="A28:K38" totalsRowShown="0">
  <autoFilter ref="A28:K38"/>
  <tableColumns count="11">
    <tableColumn id="1" name="Sequence"/>
    <tableColumn id="2" name="PicType"/>
    <tableColumn id="3" name="QP" dataDxfId="71"/>
    <tableColumn id="4" name="Bytes_Count/Frame" dataDxfId="70"/>
    <tableColumn id="9" name="Bit_Rate(Mbps)" dataDxfId="69">
      <calculatedColumnFormula>表9_15161718242930313233343540414261855122129176183777879[[#This Row],[Bytes_Count/Frame]]*8*30/1024/1024</calculatedColumnFormula>
    </tableColumn>
    <tableColumn id="7" name="Core Cycle_x000a_#/Frame" dataDxfId="68"/>
    <tableColumn id="8" name="Freq MHz _x000a_(4K@30fps )" dataDxfId="67">
      <calculatedColumnFormula>表9_15161718242930313233343540414261855122129176183777879[[#This Row],[Core Cycle
'#/Frame]]*30/1000/1000</calculatedColumnFormula>
    </tableColumn>
    <tableColumn id="10" name="Cpu Cycle _x000a_#/Frame" dataDxfId="66"/>
    <tableColumn id="11" name="Freq MHz _x000a_(4K@30fps )2" dataDxfId="65" dataCellStyle="常规 2">
      <calculatedColumnFormula>表9_15161718242930313233343540414261855122129176183777879[[#This Row],[Cpu Cycle 
'#/Frame]]*30/1000/1000</calculatedColumnFormula>
    </tableColumn>
    <tableColumn id="5" name="BandWidth_x000a_(MBytes)" dataDxfId="64"/>
    <tableColumn id="6" name="PSNR(db)" dataDxfId="63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79" name="表9_1516171824293031323334354041426185512212917618377787980" displayName="表9_1516171824293031323334354041426185512212917618377787980" ref="A40:K50" totalsRowShown="0">
  <autoFilter ref="A40:K50"/>
  <tableColumns count="11">
    <tableColumn id="1" name="Sequence"/>
    <tableColumn id="2" name="PicType"/>
    <tableColumn id="3" name="QP" dataDxfId="62"/>
    <tableColumn id="4" name="Bytes_Count/Frame" dataDxfId="61"/>
    <tableColumn id="9" name="Bit_Rate(Mbps)" dataDxfId="60">
      <calculatedColumnFormula>表9_1516171824293031323334354041426185512212917618377787980[[#This Row],[Bytes_Count/Frame]]*8*30/1024/1024</calculatedColumnFormula>
    </tableColumn>
    <tableColumn id="7" name="Core Cycle_x000a_#/Frame" dataDxfId="59"/>
    <tableColumn id="8" name="Freq MHz _x000a_(4K@30fps )" dataDxfId="58">
      <calculatedColumnFormula>表9_1516171824293031323334354041426185512212917618377787980[[#This Row],[Core Cycle
'#/Frame]]*30/1000/1000</calculatedColumnFormula>
    </tableColumn>
    <tableColumn id="10" name="Cpu Cycle _x000a_#/Frame" dataDxfId="57"/>
    <tableColumn id="11" name="Freq MHz _x000a_(4K@30fps )2" dataDxfId="56" dataCellStyle="常规 2">
      <calculatedColumnFormula>表9_1516171824293031323334354041426185512212917618377787980[[#This Row],[Cpu Cycle 
'#/Frame]]*30/1000/1000</calculatedColumnFormula>
    </tableColumn>
    <tableColumn id="5" name="BandWidth_x000a_(MBytes)" dataDxfId="55"/>
    <tableColumn id="6" name="PSNR(db)" dataDxfId="54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80" name="表9_151617182429303132333435404142618551221291761837778798081" displayName="表9_151617182429303132333435404142618551221291761837778798081" ref="A52:K62" totalsRowShown="0">
  <autoFilter ref="A52:K62"/>
  <tableColumns count="11">
    <tableColumn id="1" name="Sequence"/>
    <tableColumn id="2" name="PicType"/>
    <tableColumn id="3" name="QP" dataDxfId="53"/>
    <tableColumn id="4" name="Bytes_Count/Frame" dataDxfId="52"/>
    <tableColumn id="9" name="Bit_Rate(Mbps)" dataDxfId="51">
      <calculatedColumnFormula>表9_151617182429303132333435404142618551221291761837778798081[[#This Row],[Bytes_Count/Frame]]*8*30/1024/1024</calculatedColumnFormula>
    </tableColumn>
    <tableColumn id="7" name="Core Cycle_x000a_#/Frame" dataDxfId="50"/>
    <tableColumn id="8" name="Freq MHz _x000a_(4K@30fps )" dataDxfId="49">
      <calculatedColumnFormula>表9_151617182429303132333435404142618551221291761837778798081[[#This Row],[Core Cycle
'#/Frame]]*30/1000/1000</calculatedColumnFormula>
    </tableColumn>
    <tableColumn id="10" name="Cpu Cycle _x000a_#/Frame" dataDxfId="48"/>
    <tableColumn id="11" name="Freq MHz _x000a_(4K@30fps )2" dataDxfId="47" dataCellStyle="常规 2">
      <calculatedColumnFormula>表9_151617182429303132333435404142618551221291761837778798081[[#This Row],[Cpu Cycle 
'#/Frame]]*30/1000/1000</calculatedColumnFormula>
    </tableColumn>
    <tableColumn id="5" name="BandWidth_x000a_(MBytes)" dataDxfId="46"/>
    <tableColumn id="6" name="PSNR(db)" dataDxfId="45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81" name="表9_15161718242930313233343540414261855122129176183777879808182" displayName="表9_15161718242930313233343540414261855122129176183777879808182" ref="A64:K74" totalsRowShown="0">
  <autoFilter ref="A64:K74"/>
  <tableColumns count="11">
    <tableColumn id="1" name="Sequence"/>
    <tableColumn id="2" name="PicType"/>
    <tableColumn id="3" name="QP" dataDxfId="44"/>
    <tableColumn id="4" name="Bytes_Count/Frame" dataDxfId="43"/>
    <tableColumn id="9" name="Bit_Rate(Mbps)" dataDxfId="42">
      <calculatedColumnFormula>表9_15161718242930313233343540414261855122129176183777879808182[[#This Row],[Bytes_Count/Frame]]*8*30/1024/1024</calculatedColumnFormula>
    </tableColumn>
    <tableColumn id="7" name="Core Cycle_x000a_#/Frame" dataDxfId="41"/>
    <tableColumn id="8" name="Freq MHz _x000a_(4K@30fps )" dataDxfId="40">
      <calculatedColumnFormula>表9_15161718242930313233343540414261855122129176183777879808182[[#This Row],[Core Cycle
'#/Frame]]*30/1000/1000</calculatedColumnFormula>
    </tableColumn>
    <tableColumn id="10" name="Cpu Cycle _x000a_#/Frame" dataDxfId="39"/>
    <tableColumn id="11" name="Freq MHz _x000a_(4K@30fps )2" dataDxfId="38" dataCellStyle="常规 2">
      <calculatedColumnFormula>表9_15161718242930313233343540414261855122129176183777879808182[[#This Row],[Cpu Cycle 
'#/Frame]]*30/1000/1000</calculatedColumnFormula>
    </tableColumn>
    <tableColumn id="5" name="BandWidth_x000a_(MBytes)" dataDxfId="37"/>
    <tableColumn id="6" name="PSNR(db)" dataDxfId="36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82" name="表9_1516171824293031323334354041426185512212917618377787980818283" displayName="表9_1516171824293031323334354041426185512212917618377787980818283" ref="A76:K87" totalsRowShown="0">
  <autoFilter ref="A76:K87"/>
  <tableColumns count="11">
    <tableColumn id="1" name="Sequence"/>
    <tableColumn id="2" name="PicType"/>
    <tableColumn id="3" name="QP" dataDxfId="35"/>
    <tableColumn id="4" name="Bytes_Count/Frame" dataDxfId="34"/>
    <tableColumn id="9" name="Bit_Rate(Mbps)" dataDxfId="33">
      <calculatedColumnFormula>表9_1516171824293031323334354041426185512212917618377787980818283[[#This Row],[Bytes_Count/Frame]]*8*30/1024/1024</calculatedColumnFormula>
    </tableColumn>
    <tableColumn id="7" name="Core Cycle_x000a_#/Frame" dataDxfId="32"/>
    <tableColumn id="8" name="Freq MHz _x000a_(4K@30fps )" dataDxfId="31">
      <calculatedColumnFormula>表9_1516171824293031323334354041426185512212917618377787980818283[[#This Row],[Core Cycle
'#/Frame]]*30/1000/1000</calculatedColumnFormula>
    </tableColumn>
    <tableColumn id="10" name="Cpu Cycle _x000a_#/Frame" dataDxfId="30"/>
    <tableColumn id="11" name="Freq MHz _x000a_(4K@30fps )2" dataDxfId="29" dataCellStyle="常规 2">
      <calculatedColumnFormula>表9_1516171824293031323334354041426185512212917618377787980818283[[#This Row],[Cpu Cycle 
'#/Frame]]*30/1000/1000</calculatedColumnFormula>
    </tableColumn>
    <tableColumn id="5" name="BandWidth_x000a_(MBytes)" dataDxfId="28"/>
    <tableColumn id="6" name="PSNR(db)" dataDxfId="27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id="83" name="表9_151617182429303132333435404142618551221291761837778798081828384" displayName="表9_151617182429303132333435404142618551221291761837778798081828384" ref="A89:K100" totalsRowShown="0">
  <autoFilter ref="A89:K100"/>
  <tableColumns count="11">
    <tableColumn id="1" name="Sequence"/>
    <tableColumn id="2" name="PicType"/>
    <tableColumn id="3" name="QP" dataDxfId="26"/>
    <tableColumn id="4" name="Bytes_Count/Frame" dataDxfId="25"/>
    <tableColumn id="9" name="Bit_Rate(Mbps)" dataDxfId="24">
      <calculatedColumnFormula>表9_151617182429303132333435404142618551221291761837778798081828384[[#This Row],[Bytes_Count/Frame]]*8*30/1024/1024</calculatedColumnFormula>
    </tableColumn>
    <tableColumn id="7" name="Core Cycle_x000a_#/Frame" dataDxfId="23"/>
    <tableColumn id="8" name="Freq MHz _x000a_(4K@30fps )" dataDxfId="22">
      <calculatedColumnFormula>表9_151617182429303132333435404142618551221291761837778798081828384[[#This Row],[Core Cycle
'#/Frame]]*30/1000/1000</calculatedColumnFormula>
    </tableColumn>
    <tableColumn id="10" name="Cpu Cycle _x000a_#/Frame" dataDxfId="21"/>
    <tableColumn id="11" name="Freq MHz _x000a_(4K@30fps )2" dataDxfId="20" dataCellStyle="常规 2">
      <calculatedColumnFormula>表9_151617182429303132333435404142618551221291761837778798081828384[[#This Row],[Cpu Cycle 
'#/Frame]]*30/1000/1000</calculatedColumnFormula>
    </tableColumn>
    <tableColumn id="5" name="BandWidth_x000a_(MBytes)" dataDxfId="19"/>
    <tableColumn id="6" name="PSNR(db)" dataDxfId="18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id="84" name="表9_15161718242930313233343540414261855122129176183777879808182838485" displayName="表9_15161718242930313233343540414261855122129176183777879808182838485" ref="A102:K113" totalsRowShown="0">
  <autoFilter ref="A102:K113"/>
  <tableColumns count="11">
    <tableColumn id="1" name="Sequence"/>
    <tableColumn id="2" name="PicType"/>
    <tableColumn id="3" name="QP" dataDxfId="17"/>
    <tableColumn id="4" name="Bytes_Count/Frame" dataDxfId="16"/>
    <tableColumn id="9" name="Bit_Rate(Mbps)" dataDxfId="15">
      <calculatedColumnFormula>表9_15161718242930313233343540414261855122129176183777879808182838485[[#This Row],[Bytes_Count/Frame]]*8*30/1024/1024</calculatedColumnFormula>
    </tableColumn>
    <tableColumn id="7" name="Core Cycle_x000a_#/Frame" dataDxfId="14"/>
    <tableColumn id="8" name="Freq MHz _x000a_(4K@30fps )" dataDxfId="13">
      <calculatedColumnFormula>表9_15161718242930313233343540414261855122129176183777879808182838485[[#This Row],[Core Cycle
'#/Frame]]*30/1000/1000</calculatedColumnFormula>
    </tableColumn>
    <tableColumn id="10" name="Cpu Cycle _x000a_#/Frame" dataDxfId="12"/>
    <tableColumn id="11" name="Freq MHz _x000a_(4K@30fps )2" dataDxfId="11" dataCellStyle="常规 2">
      <calculatedColumnFormula>表9_15161718242930313233343540414261855122129176183777879808182838485[[#This Row],[Cpu Cycle 
'#/Frame]]*30/1000/1000</calculatedColumnFormula>
    </tableColumn>
    <tableColumn id="5" name="BandWidth_x000a_(MBytes)" dataDxfId="10"/>
    <tableColumn id="6" name="PSNR(db)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" name="表9_1516171824293031323334354" displayName="表9_1516171824293031323334354" ref="A81:F86" totalsRowShown="0" headerRowDxfId="677">
  <autoFilter ref="A81:F86"/>
  <tableColumns count="6">
    <tableColumn id="1" name="Sequence"/>
    <tableColumn id="2" name="PicType"/>
    <tableColumn id="3" name="Core Cyc#/Frame"/>
    <tableColumn id="4" name="Cpu Cyc#/Frame" dataDxfId="676"/>
    <tableColumn id="5" name="Target Freq. （ for 4K@30fps )" dataDxfId="675">
      <calculatedColumnFormula>表9_1516171824293031323334354[[#This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id="50" name="表9_15161718242930313233343540414261855122129176183777879808151" displayName="表9_15161718242930313233343540414261855122129176183777879808151" ref="A124:I133" totalsRowShown="0">
  <autoFilter ref="A124:I133"/>
  <tableColumns count="9">
    <tableColumn id="1" name="Sequence" dataDxfId="8"/>
    <tableColumn id="2" name="Process I_Frame_x000a_Need Core_Freq(MHz) " dataDxfId="7"/>
    <tableColumn id="3" name="Process P_Frame_x000a_Need Core_Freq(MHz) " dataDxfId="6"/>
    <tableColumn id="4" name="Process B_Frame_x000a_Need Core_Freq(MHz)" dataDxfId="5"/>
    <tableColumn id="9" name="I_Frame Max_BW_x000a_/Frame(MBytes)" dataDxfId="4">
      <calculatedColumnFormula>表9_15161718242930313233343540414261855122129176183777879808151[[#This Row],[Process B_Frame
Need Core_Freq(MHz)]]*8*30/1024/1024</calculatedColumnFormula>
    </tableColumn>
    <tableColumn id="7" name="P_Frame Max_BW_x000a_/Frame(Mbytes)" dataDxfId="3"/>
    <tableColumn id="8" name="B_Frame Max_BW_x000a_/Frame(Mbytes)" dataDxfId="2">
      <calculatedColumnFormula>表9_15161718242930313233343540414261855122129176183777879808151[[#This Row],[P_Frame Max_BW
/Frame(Mbytes)]]*30/1000/1000</calculatedColumnFormula>
    </tableColumn>
    <tableColumn id="10" name="Process IPB _x000a_seqence Need _x000a_Core Freq (MHz)" dataDxfId="1">
      <calculatedColumnFormula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calculatedColumnFormula>
    </tableColumn>
    <tableColumn id="11" name="Max BandWidth_x000a_Mbytes_x000a_(30Frame)" dataDxfId="0" dataCellStyle="常规 2">
      <calculatedColumnFormula>表9_15161718242930313233343540414261855122129176183777879808151[[#This Row],[B_Frame Max_BW
/Frame(Mbytes)]]*30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" name="表9_15161718242930313233343540435" displayName="表9_15161718242930313233343540435" ref="A99:F102" totalsRowShown="0" headerRowDxfId="674">
  <autoFilter ref="A99:F102"/>
  <tableColumns count="6">
    <tableColumn id="1" name="Sequence"/>
    <tableColumn id="2" name="PicType"/>
    <tableColumn id="3" name="Core Cyc#/Frame"/>
    <tableColumn id="4" name="Cpu Cyc#/Frame" dataDxfId="673"/>
    <tableColumn id="5" name="Target Freq. （ for 4K@30fps )" dataDxfId="672">
      <calculatedColumnFormula>表9_15161718242930313233343540435[[#This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表9_1516171824293031323334354041426" displayName="表9_1516171824293031323334354041426" ref="A124:F130" totalsRowShown="0" headerRowDxfId="671">
  <autoFilter ref="A124:F130"/>
  <tableColumns count="6">
    <tableColumn id="1" name="Sequence"/>
    <tableColumn id="2" name="PicType"/>
    <tableColumn id="3" name="Core Cyc#/Frame"/>
    <tableColumn id="4" name="Cpu Cyc#/Frame" dataDxfId="670"/>
    <tableColumn id="5" name="Target Freq. （ for 4K@30fps )" dataDxfId="669">
      <calculatedColumnFormula>表9_1516171824293031323334354041426[[#This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" name="表9_15161718242930313233343540414267" displayName="表9_15161718242930313233343540414267" ref="A143:F149" totalsRowShown="0" headerRowDxfId="668">
  <autoFilter ref="A143:F149"/>
  <tableColumns count="6">
    <tableColumn id="1" name="Sequence"/>
    <tableColumn id="2" name="PicType"/>
    <tableColumn id="3" name="Core Cyc#/Frame"/>
    <tableColumn id="4" name="Cpu Cyc#/Frame" dataDxfId="667"/>
    <tableColumn id="5" name="Target Freq. （ for 4K@30fps )" dataDxfId="666">
      <calculatedColumnFormula>表9_15161718242930313233343540414267[[#This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" name="表9_151617182429303132333435404142678" displayName="表9_151617182429303132333435404142678" ref="A151:F157" totalsRowShown="0" headerRowDxfId="665">
  <autoFilter ref="A151:F157"/>
  <tableColumns count="6">
    <tableColumn id="1" name="Sequence"/>
    <tableColumn id="2" name="PicType"/>
    <tableColumn id="3" name="Core Cyc#/Frame"/>
    <tableColumn id="4" name="Cpu Cyc#/Frame" dataDxfId="664"/>
    <tableColumn id="5" name="Target Freq. （ for 4K@30fps )" dataDxfId="663">
      <calculatedColumnFormula>表9_151617182429303132333435404142678[[#This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8" name="表9_1516171824293031323334354041426789" displayName="表9_1516171824293031323334354041426789" ref="A159:F164" totalsRowShown="0" headerRowDxfId="662">
  <autoFilter ref="A159:F164"/>
  <tableColumns count="6">
    <tableColumn id="1" name="Sequence"/>
    <tableColumn id="2" name="PicType"/>
    <tableColumn id="3" name="Core Cyc#/Frame"/>
    <tableColumn id="4" name="Cpu Cyc#/Frame" dataDxfId="661"/>
    <tableColumn id="5" name="Target Freq. （ for 4K@30fps )" dataDxfId="660">
      <calculatedColumnFormula>表9_1516171824293031323334354041426789[[#This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表9_151617182429" displayName="表9_151617182429" ref="A9:F14" totalsRowShown="0" headerRowDxfId="713">
  <autoFilter ref="A9:F14"/>
  <tableColumns count="6">
    <tableColumn id="1" name="Sequence"/>
    <tableColumn id="2" name="PicType"/>
    <tableColumn id="3" name="Core Cyc#/Frame"/>
    <tableColumn id="4" name="Cpu Cyc#/Frame" dataDxfId="712"/>
    <tableColumn id="5" name="Target Freq. （ for 4K@30fps )" dataDxfId="711">
      <calculatedColumnFormula>表9_151617182429[[#This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9" name="表9_151617182429303132333435404142678910" displayName="表9_151617182429303132333435404142678910" ref="A169:F175" totalsRowShown="0" headerRowDxfId="659">
  <autoFilter ref="A169:F175"/>
  <tableColumns count="6">
    <tableColumn id="1" name="Sequence"/>
    <tableColumn id="2" name="PicType"/>
    <tableColumn id="3" name="Core Cyc#/Frame"/>
    <tableColumn id="4" name="Cpu Cyc#/Frame" dataDxfId="658"/>
    <tableColumn id="5" name="Target Freq. （ for 4K@30fps )" dataDxfId="657">
      <calculatedColumnFormula>表9_151617182429303132333435404142678910[[#This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0" name="表9_15161718242930313233343540414267891011" displayName="表9_15161718242930313233343540414267891011" ref="A177:F182" totalsRowShown="0" headerRowDxfId="656">
  <autoFilter ref="A177:F182"/>
  <tableColumns count="6">
    <tableColumn id="1" name="Sequence"/>
    <tableColumn id="2" name="PicType"/>
    <tableColumn id="3" name="Core Cyc#/Frame"/>
    <tableColumn id="4" name="Cpu Cyc#/Frame" dataDxfId="655"/>
    <tableColumn id="5" name="Target Freq. （ for 4K@30fps )" dataDxfId="654">
      <calculatedColumnFormula>表9_15161718242930313233343540414267891011[[#This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2" name="表9_15161718242930313233343540414267891213" displayName="表9_15161718242930313233343540414267891213" ref="A186:F191" totalsRowShown="0" headerRowDxfId="653">
  <autoFilter ref="A186:F191"/>
  <tableColumns count="6">
    <tableColumn id="1" name="Sequence"/>
    <tableColumn id="2" name="PicType"/>
    <tableColumn id="3" name="Core Cyc#/Frame"/>
    <tableColumn id="4" name="Cpu Cyc#/Frame" dataDxfId="652"/>
    <tableColumn id="5" name="Target Freq. （ for 4K@30fps )" dataDxfId="651">
      <calculatedColumnFormula>表9_15161718242930313233343540414267891213[[#This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3" name="表9_1516171824293031323334354041426789121314" displayName="表9_1516171824293031323334354041426789121314" ref="A195:F202" totalsRowShown="0" headerRowDxfId="650">
  <autoFilter ref="A195:F202"/>
  <tableColumns count="6">
    <tableColumn id="1" name="Sequence"/>
    <tableColumn id="2" name="PicType"/>
    <tableColumn id="3" name="Core Cyc#/Frame"/>
    <tableColumn id="4" name="Cpu Cyc#/Frame" dataDxfId="649"/>
    <tableColumn id="5" name="Target Freq. （ for 4K@30fps )" dataDxfId="648">
      <calculatedColumnFormula>表9_1516171824293031323334354041426789121314[[#This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4" name="表9_151617182429303132333435404142678912131415" displayName="表9_151617182429303132333435404142678912131415" ref="A203:F208" totalsRowShown="0" headerRowDxfId="647">
  <autoFilter ref="A203:F208"/>
  <tableColumns count="6">
    <tableColumn id="1" name="Sequence"/>
    <tableColumn id="2" name="PicType"/>
    <tableColumn id="3" name="Core Cyc#/Frame"/>
    <tableColumn id="4" name="Cpu Cyc#/Frame" dataDxfId="646"/>
    <tableColumn id="5" name="Target Freq. （ for 4K@30fps )" dataDxfId="645">
      <calculatedColumnFormula>表9_151617182429303132333435404142678912131415[[#This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5" name="表9_151617182429303132216" displayName="表9_151617182429303132216" ref="A45:F50" totalsRowShown="0" headerRowDxfId="644">
  <autoFilter ref="A45:F50"/>
  <tableColumns count="6">
    <tableColumn id="1" name="Sequence"/>
    <tableColumn id="2" name="PicType"/>
    <tableColumn id="3" name="Core Cyc#/Frame"/>
    <tableColumn id="4" name="Cpu Cyc#/Frame" dataDxfId="643"/>
    <tableColumn id="5" name="Target Freq. （ for 4K@30fps )" dataDxfId="642">
      <calculatedColumnFormula>表9_151617182429303132216[[#This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6" name="表9_151617182429303132333435417" displayName="表9_151617182429303132333435417" ref="A89:F94" totalsRowShown="0" headerRowDxfId="641">
  <autoFilter ref="A89:F94"/>
  <tableColumns count="6">
    <tableColumn id="1" name="Sequence"/>
    <tableColumn id="2" name="PicType"/>
    <tableColumn id="3" name="Core Cyc#/Frame"/>
    <tableColumn id="4" name="Cpu Cyc#/Frame" dataDxfId="640"/>
    <tableColumn id="5" name="Target Freq. （ for 4K@30fps )" dataDxfId="639">
      <calculatedColumnFormula>表9_151617182429303132333435417[[#This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7" name="表9_151617182429303132333435404142618" displayName="表9_151617182429303132333435404142618" ref="A132:F137" totalsRowShown="0" headerRowDxfId="638">
  <autoFilter ref="A132:F137"/>
  <tableColumns count="6">
    <tableColumn id="1" name="Sequence"/>
    <tableColumn id="2" name="PicType"/>
    <tableColumn id="3" name="Core Cyc#/Frame"/>
    <tableColumn id="4" name="Cpu Cyc#/Frame" dataDxfId="637"/>
    <tableColumn id="5" name="Target Freq. （ for 4K@30fps )" dataDxfId="636">
      <calculatedColumnFormula>表9_151617182429303132333435404142618[[#This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" name="表9_15161718243" displayName="表9_15161718243" ref="A4:F8" totalsRowShown="0" headerRowDxfId="635">
  <autoFilter ref="A4:F8"/>
  <tableColumns count="6">
    <tableColumn id="1" name="Sequence"/>
    <tableColumn id="2" name="PicType"/>
    <tableColumn id="3" name="Core Cyc#/Frame" dataDxfId="634"/>
    <tableColumn id="4" name="Cpu Cyc#/Frame" dataDxfId="633"/>
    <tableColumn id="5" name="Target Freq. （ for 4K@30fps )" dataDxfId="632">
      <calculatedColumnFormula>表9_15161718243[[#This Row],[Core Cyc'#/Frame]]*30/1000/1000</calculatedColumnFormula>
    </tableColumn>
    <tableColumn id="6" name="BW (MB)" dataDxfId="63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1" name="表9_15161718242912" displayName="表9_15161718242912" ref="A10:F15" totalsRowShown="0" headerRowDxfId="630">
  <autoFilter ref="A10:F15"/>
  <tableColumns count="6">
    <tableColumn id="1" name="Sequence"/>
    <tableColumn id="2" name="PicType"/>
    <tableColumn id="3" name="Core Cyc#/Frame" dataDxfId="629"/>
    <tableColumn id="4" name="Cpu Cyc#/Frame" dataDxfId="628"/>
    <tableColumn id="5" name="Target Freq. （ for 4K@30fps )" dataDxfId="627">
      <calculatedColumnFormula>表9_15161718242912[[#This Row],[Core Cyc'#/Frame]]*30/1000/1000</calculatedColumnFormula>
    </tableColumn>
    <tableColumn id="6" name="BW (MB)" dataDxfId="6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9" name="表9_15161718242930" displayName="表9_15161718242930" ref="A16:F21" totalsRowShown="0" headerRowDxfId="710">
  <autoFilter ref="A16:F21"/>
  <tableColumns count="6">
    <tableColumn id="1" name="Sequence"/>
    <tableColumn id="2" name="PicType"/>
    <tableColumn id="3" name="Core Cyc#/Frame"/>
    <tableColumn id="4" name="Cpu Cyc#/Frame" dataDxfId="709"/>
    <tableColumn id="5" name="Target Freq. （ for 4K@30fps )" dataDxfId="708">
      <calculatedColumnFormula>表9_15161718242930[[#This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8" name="表9_1516171824293019" displayName="表9_1516171824293019" ref="A17:F22" totalsRowShown="0" headerRowDxfId="625">
  <autoFilter ref="A17:F22"/>
  <tableColumns count="6">
    <tableColumn id="1" name="Sequence"/>
    <tableColumn id="2" name="PicType"/>
    <tableColumn id="3" name="Core Cyc#/Frame" dataDxfId="624"/>
    <tableColumn id="4" name="Cpu Cyc#/Frame" dataDxfId="623"/>
    <tableColumn id="5" name="Target Freq. （ for 4K@30fps )" dataDxfId="622">
      <calculatedColumnFormula>表9_1516171824293019[[#This Row],[Core Cyc'#/Frame]]*30/1000/1000</calculatedColumnFormula>
    </tableColumn>
    <tableColumn id="6" name="BW (MB)" dataDxfId="6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9" name="表9_151617182429303120" displayName="表9_151617182429303120" ref="A24:F29" totalsRowShown="0" headerRowDxfId="620">
  <autoFilter ref="A24:F29"/>
  <tableColumns count="6">
    <tableColumn id="1" name="Sequence"/>
    <tableColumn id="2" name="PicType"/>
    <tableColumn id="3" name="Core Cyc#/Frame" dataDxfId="619"/>
    <tableColumn id="4" name="Cpu Cyc#/Frame" dataDxfId="618"/>
    <tableColumn id="5" name="Target Freq. （ for 4K@30fps )" dataDxfId="617">
      <calculatedColumnFormula>表9_1516171824293019[[#This Row],[Core Cyc'#/Frame]]*30/1000/1000</calculatedColumnFormula>
    </tableColumn>
    <tableColumn id="6" name="BW (MB)" dataDxfId="61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表9_15161718242930313221" displayName="表9_15161718242930313221" ref="A31:F36" totalsRowShown="0" headerRowDxfId="615">
  <autoFilter ref="A31:F36"/>
  <tableColumns count="6">
    <tableColumn id="1" name="Sequence"/>
    <tableColumn id="2" name="PicType"/>
    <tableColumn id="3" name="Core Cyc#/Frame" dataDxfId="614"/>
    <tableColumn id="4" name="Cpu Cyc#/Frame" dataDxfId="613"/>
    <tableColumn id="5" name="Target Freq. （ for 4K@30fps )" dataDxfId="612">
      <calculatedColumnFormula>表9_15161718242930313221[[#This Row],[Core Cyc'#/Frame]]*30/1000/1000</calculatedColumnFormula>
    </tableColumn>
    <tableColumn id="6" name="BW (MB)" dataDxfId="61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1" name="表9_151617182429303132333422" displayName="表9_151617182429303132333422" ref="A70:F77" totalsRowShown="0" headerRowDxfId="610">
  <autoFilter ref="A70:F77"/>
  <tableColumns count="6">
    <tableColumn id="1" name="Sequence"/>
    <tableColumn id="2" name="PicType"/>
    <tableColumn id="3" name="Core Cyc#/Frame" dataDxfId="609"/>
    <tableColumn id="4" name="Cpu Cyc#/Frame" dataDxfId="608"/>
    <tableColumn id="5" name="Target Freq. （ for 4K@30fps )" dataDxfId="607">
      <calculatedColumnFormula>表9_151617182429303132333422[[#This Row],[Core Cyc'#/Frame]]*30/1000/1000</calculatedColumnFormula>
    </tableColumn>
    <tableColumn id="6" name="BW (MB)" dataDxfId="60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2" name="表9_15161718242930313233343523" displayName="表9_15161718242930313233343523" ref="A79:F86" totalsRowShown="0" headerRowDxfId="605">
  <autoFilter ref="A79:F86"/>
  <tableColumns count="6">
    <tableColumn id="1" name="Sequence"/>
    <tableColumn id="2" name="PicType"/>
    <tableColumn id="3" name="Core Cyc#/Frame" dataDxfId="604"/>
    <tableColumn id="4" name="Cpu Cyc#/Frame" dataDxfId="603"/>
    <tableColumn id="5" name="Target Freq. （ for 4K@30fps )" dataDxfId="602">
      <calculatedColumnFormula>表9_15161718242930313233343523[[#This Row],[Core Cyc'#/Frame]]*30/1000/1000</calculatedColumnFormula>
    </tableColumn>
    <tableColumn id="6" name="BW (MB)" dataDxfId="601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表9_1516171824293031323325" displayName="表9_1516171824293031323325" ref="A63:F68" totalsRowShown="0" headerRowDxfId="600">
  <autoFilter ref="A63:F68"/>
  <tableColumns count="6">
    <tableColumn id="1" name="Sequence"/>
    <tableColumn id="2" name="PicType"/>
    <tableColumn id="3" name="Core Cyc#/Frame" dataDxfId="599"/>
    <tableColumn id="4" name="Cpu Cyc#/Frame" dataDxfId="598"/>
    <tableColumn id="5" name="Target Freq. （ for 4K@30fps )" dataDxfId="597">
      <calculatedColumnFormula>表9_1516171824293031323325[[#This Row],[Core Cyc'#/Frame]]*30/1000/1000</calculatedColumnFormula>
    </tableColumn>
    <tableColumn id="6" name="BW (MB)" dataDxfId="59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表9_1516171824293031323334353926" displayName="表9_1516171824293031323334353926" ref="A57:F61" totalsRowShown="0" headerRowDxfId="595">
  <autoFilter ref="A57:F61"/>
  <tableColumns count="6">
    <tableColumn id="1" name="Sequence"/>
    <tableColumn id="2" name="PicType"/>
    <tableColumn id="3" name="Core Cyc#/Frame" dataDxfId="594"/>
    <tableColumn id="4" name="Cpu Cyc#/Frame" dataDxfId="593"/>
    <tableColumn id="5" name="Target Freq. （ for 4K@30fps )" dataDxfId="592">
      <calculatedColumnFormula>表9_1516171824293031323334353926[[#This Row],[Core Cyc'#/Frame]]*30/1000/1000</calculatedColumnFormula>
    </tableColumn>
    <tableColumn id="6" name="BW (MB)" dataDxfId="59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表9_1516171824293031323334354027" displayName="表9_1516171824293031323334354027" ref="A112:F115" totalsRowShown="0" headerRowDxfId="590">
  <autoFilter ref="A112:F115"/>
  <tableColumns count="6">
    <tableColumn id="1" name="Sequence"/>
    <tableColumn id="2" name="PicType"/>
    <tableColumn id="3" name="Core Cyc#/Frame" dataDxfId="589"/>
    <tableColumn id="4" name="Cpu Cyc#/Frame" dataDxfId="588"/>
    <tableColumn id="5" name="Target Freq. （ for 4K@30fps )" dataDxfId="587">
      <calculatedColumnFormula>表9_1516171824293031323334354027[[#This Row],[Core Cyc'#/Frame]]*30/1000/1000</calculatedColumnFormula>
    </tableColumn>
    <tableColumn id="6" name="BW (MB)" dataDxfId="58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7" name="表9_151617182429303132333435404128" displayName="表9_151617182429303132333435404128" ref="A118:F122" totalsRowShown="0" headerRowDxfId="585">
  <autoFilter ref="A118:F122"/>
  <tableColumns count="6">
    <tableColumn id="1" name="Sequence"/>
    <tableColumn id="2" name="PicType"/>
    <tableColumn id="3" name="Core Cyc#/Frame" dataDxfId="584"/>
    <tableColumn id="4" name="Cpu Cyc#/Frame" dataDxfId="583"/>
    <tableColumn id="5" name="Target Freq. （ for 4K@30fps )" dataDxfId="582">
      <calculatedColumnFormula>表9_151617182429303132333435404128[[#This Row],[Core Cyc'#/Frame]]*30/1000/1000</calculatedColumnFormula>
    </tableColumn>
    <tableColumn id="6" name="BW (MB)" dataDxfId="58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5" name="表9_15161718242930313233343540414236" displayName="表9_15161718242930313233343540414236" ref="A125:F130" totalsRowShown="0" headerRowDxfId="580">
  <autoFilter ref="A125:F130"/>
  <tableColumns count="6">
    <tableColumn id="1" name="Sequence"/>
    <tableColumn id="2" name="PicType"/>
    <tableColumn id="3" name="Core Cyc#/Frame" dataDxfId="579"/>
    <tableColumn id="4" name="Cpu Cyc#/Frame" dataDxfId="578"/>
    <tableColumn id="5" name="Target Freq. （ for 4K@30fps )" dataDxfId="577">
      <calculatedColumnFormula>表9_15161718242930313233343540414236[[#This Row],[Core Cyc'#/Frame]]*30/1000/1000</calculatedColumnFormula>
    </tableColumn>
    <tableColumn id="6" name="BW (MB)" dataDxfId="57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0" name="表9_1516171824293031" displayName="表9_1516171824293031" ref="A23:F28" totalsRowShown="0" headerRowDxfId="707">
  <autoFilter ref="A23:F28"/>
  <tableColumns count="6">
    <tableColumn id="1" name="Sequence"/>
    <tableColumn id="2" name="PicType"/>
    <tableColumn id="3" name="Core Cyc#/Frame"/>
    <tableColumn id="4" name="Cpu Cyc#/Frame" dataDxfId="706"/>
    <tableColumn id="5" name="Target Freq. （ for 4K@30fps )" dataDxfId="705">
      <calculatedColumnFormula>表9_1516171824293031[[#This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6" name="表9_151617182429303132237" displayName="表9_151617182429303132237" ref="A38:F43" totalsRowShown="0" headerRowDxfId="575">
  <autoFilter ref="A38:F43"/>
  <tableColumns count="6">
    <tableColumn id="1" name="Sequence"/>
    <tableColumn id="2" name="PicType"/>
    <tableColumn id="3" name="Core Cyc#/Frame" dataDxfId="574"/>
    <tableColumn id="4" name="Cpu Cyc#/Frame" dataDxfId="573"/>
    <tableColumn id="5" name="Target Freq. （ for 4K@30fps )" dataDxfId="572">
      <calculatedColumnFormula>表9_151617182429303132237[[#This Row],[Core Cyc'#/Frame]]*30/1000/1000</calculatedColumnFormula>
    </tableColumn>
    <tableColumn id="6" name="BW (MB)" dataDxfId="57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37" name="表9_151617182429303132333435438" displayName="表9_151617182429303132333435438" ref="A88:F94" totalsRowShown="0" headerRowDxfId="570">
  <autoFilter ref="A88:F94"/>
  <tableColumns count="6">
    <tableColumn id="1" name="Sequence"/>
    <tableColumn id="2" name="PicType"/>
    <tableColumn id="3" name="Core Cyc#/Frame" dataDxfId="569"/>
    <tableColumn id="4" name="Cpu Cyc#/Frame" dataDxfId="568"/>
    <tableColumn id="5" name="Target Freq. （ for 4K@30fps )" dataDxfId="567">
      <calculatedColumnFormula>表9_151617182429303132333435438[[#This Row],[Core Cyc'#/Frame]]*30/1000/1000</calculatedColumnFormula>
    </tableColumn>
    <tableColumn id="6" name="BW (MB)" dataDxfId="566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2" name="表9_1516171824293031323334354043543" displayName="表9_1516171824293031323334354043543" ref="A107:F110" totalsRowShown="0" headerRowDxfId="565">
  <autoFilter ref="A107:F110"/>
  <tableColumns count="6">
    <tableColumn id="1" name="Sequence"/>
    <tableColumn id="2" name="PicType"/>
    <tableColumn id="3" name="Core Cyc#/Frame" dataDxfId="564"/>
    <tableColumn id="4" name="Cpu Cyc#/Frame" dataDxfId="563"/>
    <tableColumn id="5" name="Target Freq. （ for 4K@30fps )" dataDxfId="562">
      <calculatedColumnFormula>表9_1516171824293031323334354043543[[#This Row],[Core Cyc'#/Frame]]*30/1000/1000</calculatedColumnFormula>
    </tableColumn>
    <tableColumn id="6" name="BW (MB)" dataDxfId="561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3" name="表9_151617182429303132333435404142644" displayName="表9_151617182429303132333435404142644" ref="A132:F138" totalsRowShown="0" headerRowDxfId="560">
  <autoFilter ref="A132:F138"/>
  <tableColumns count="6">
    <tableColumn id="1" name="Sequence"/>
    <tableColumn id="2" name="PicType"/>
    <tableColumn id="3" name="Core Cyc#/Frame" dataDxfId="559"/>
    <tableColumn id="4" name="Cpu Cyc#/Frame" dataDxfId="558"/>
    <tableColumn id="5" name="Target Freq. （ for 4K@30fps )" dataDxfId="557">
      <calculatedColumnFormula>表9_151617182429303132333435404142644[[#This Row],[Core Cyc'#/Frame]]*30/1000/1000</calculatedColumnFormula>
    </tableColumn>
    <tableColumn id="6" name="BW (MB)" dataDxfId="55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2" name="表9_15161718242930313221653" displayName="表9_15161718242930313221653" ref="A46:F51" totalsRowShown="0" headerRowDxfId="555">
  <autoFilter ref="A46:F51"/>
  <tableColumns count="6">
    <tableColumn id="1" name="Sequence"/>
    <tableColumn id="2" name="PicType"/>
    <tableColumn id="3" name="Core Cyc#/Frame" dataDxfId="554"/>
    <tableColumn id="4" name="Cpu Cyc#/Frame" dataDxfId="553"/>
    <tableColumn id="5" name="Target Freq. （ for 4K@30fps )" dataDxfId="552">
      <calculatedColumnFormula>表9_15161718242930313221653[[#This Row],[Core Cyc'#/Frame]]*30/1000/1000</calculatedColumnFormula>
    </tableColumn>
    <tableColumn id="6" name="BW (MB)" dataDxfId="551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3" name="表9_15161718242930313233343541754" displayName="表9_15161718242930313233343541754" ref="A97:F103" totalsRowShown="0" headerRowDxfId="550">
  <autoFilter ref="A97:F103"/>
  <tableColumns count="6">
    <tableColumn id="1" name="Sequence"/>
    <tableColumn id="2" name="PicType"/>
    <tableColumn id="3" name="Core Cyc#/Frame" dataDxfId="549"/>
    <tableColumn id="4" name="Cpu Cyc#/Frame" dataDxfId="548"/>
    <tableColumn id="5" name="Target Freq. （ for 4K@30fps )" dataDxfId="547">
      <calculatedColumnFormula>表9_15161718242930313233343541754[[#This Row],[Core Cyc'#/Frame]]*30/1000/1000</calculatedColumnFormula>
    </tableColumn>
    <tableColumn id="6" name="BW (MB)" dataDxfId="546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4" name="表9_15161718242930313233343540414261855" displayName="表9_15161718242930313233343540414261855" ref="A140:F145" totalsRowShown="0" headerRowDxfId="545">
  <autoFilter ref="A140:F145"/>
  <tableColumns count="6">
    <tableColumn id="1" name="Sequence"/>
    <tableColumn id="2" name="PicType"/>
    <tableColumn id="3" name="Core Cyc#/Frame" dataDxfId="544"/>
    <tableColumn id="4" name="Cpu Cyc#/Frame" dataDxfId="543"/>
    <tableColumn id="5" name="Target Freq. （ for 4K@30fps )" dataDxfId="542">
      <calculatedColumnFormula>表9_15161718242930313233343540414261855[[#This Row],[Core Cyc'#/Frame]]*30/1000/1000</calculatedColumnFormula>
    </tableColumn>
    <tableColumn id="6" name="BW (MB)" dataDxfId="541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4" name="表9_15161718242930313233343540276545" displayName="表9_15161718242930313233343540276545" ref="A155:F158" totalsRowShown="0" headerRowDxfId="540">
  <autoFilter ref="A155:F158"/>
  <tableColumns count="6">
    <tableColumn id="1" name="Sequence"/>
    <tableColumn id="2" name="PicType"/>
    <tableColumn id="3" name="Core Cyc#/Frame"/>
    <tableColumn id="4" name="Cpu Cyc#/Frame" dataDxfId="539"/>
    <tableColumn id="5" name="Target Freq. （ for 4K@30fps )" dataDxfId="538">
      <calculatedColumnFormula>表9_15161718242930313233343540276545[[#This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5" name="表9_1516171824293031323334354041286646" displayName="表9_1516171824293031323334354041286646" ref="A161:F165" totalsRowShown="0" headerRowDxfId="537">
  <autoFilter ref="A161:F165"/>
  <tableColumns count="6">
    <tableColumn id="1" name="Sequence"/>
    <tableColumn id="2" name="PicType"/>
    <tableColumn id="3" name="Core Cyc#/Frame"/>
    <tableColumn id="4" name="Cpu Cyc#/Frame" dataDxfId="536"/>
    <tableColumn id="5" name="Target Freq. （ for 4K@30fps )" dataDxfId="535">
      <calculatedColumnFormula>表9_1516171824293031323334354041286646[[#This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6" name="表9_151617182429303132333435404142366747" displayName="表9_151617182429303132333435404142366747" ref="A168:F173" totalsRowShown="0" headerRowDxfId="534">
  <autoFilter ref="A168:F173"/>
  <tableColumns count="6">
    <tableColumn id="1" name="Sequence"/>
    <tableColumn id="2" name="PicType"/>
    <tableColumn id="3" name="Core Cyc#/Frame"/>
    <tableColumn id="4" name="Cpu Cyc#/Frame" dataDxfId="533"/>
    <tableColumn id="5" name="Target Freq. （ for 4K@30fps )" dataDxfId="532">
      <calculatedColumnFormula>表9_151617182429303132333435404142366747[[#This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1" name="表9_151617182429303132" displayName="表9_151617182429303132" ref="A30:F35" totalsRowShown="0" headerRowDxfId="704">
  <autoFilter ref="A30:F35"/>
  <tableColumns count="6">
    <tableColumn id="1" name="Sequence"/>
    <tableColumn id="2" name="PicType"/>
    <tableColumn id="3" name="Core Cyc#/Frame"/>
    <tableColumn id="4" name="Cpu Cyc#/Frame" dataDxfId="703"/>
    <tableColumn id="5" name="Target Freq. （ for 4K@30fps )" dataDxfId="702">
      <calculatedColumnFormula>表9_151617182429303132[[#This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7" name="表9_15161718242930313233343540435437048" displayName="表9_15161718242930313233343540435437048" ref="A150:F153" totalsRowShown="0" headerRowDxfId="531">
  <autoFilter ref="A150:F153"/>
  <tableColumns count="6">
    <tableColumn id="1" name="Sequence"/>
    <tableColumn id="2" name="PicType"/>
    <tableColumn id="3" name="Core Cyc#/Frame"/>
    <tableColumn id="4" name="Cpu Cyc#/Frame" dataDxfId="530"/>
    <tableColumn id="5" name="Target Freq. （ for 4K@30fps )" dataDxfId="529">
      <calculatedColumnFormula>表9_15161718242930313233343540435437048[[#This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48" name="表9_1516171824293031323334354041426447149" displayName="表9_1516171824293031323334354041426447149" ref="A175:F181" totalsRowShown="0" headerRowDxfId="528">
  <autoFilter ref="A175:F181"/>
  <tableColumns count="6">
    <tableColumn id="1" name="Sequence"/>
    <tableColumn id="2" name="PicType"/>
    <tableColumn id="3" name="Core Cyc#/Frame"/>
    <tableColumn id="4" name="Cpu Cyc#/Frame" dataDxfId="527"/>
    <tableColumn id="5" name="Target Freq. （ for 4K@30fps )" dataDxfId="526">
      <calculatedColumnFormula>表9_1516171824293031323334354041426447149[[#This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49" name="表9_151617182429303132333435404142618558250" displayName="表9_151617182429303132333435404142618558250" ref="A183:F188" totalsRowShown="0" headerRowDxfId="525">
  <autoFilter ref="A183:F188"/>
  <tableColumns count="6">
    <tableColumn id="1" name="Sequence"/>
    <tableColumn id="2" name="PicType"/>
    <tableColumn id="3" name="Core Cyc#/Frame"/>
    <tableColumn id="4" name="Cpu Cyc#/Frame" dataDxfId="524"/>
    <tableColumn id="5" name="Target Freq. （ for 4K@30fps )" dataDxfId="523">
      <calculatedColumnFormula>表9_151617182429303132333435404142618558250[[#This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3" name="表9_15161718243104" displayName="表9_15161718243104" ref="A4:F11" totalsRowShown="0" headerRowDxfId="522">
  <autoFilter ref="A4:F11"/>
  <tableColumns count="6">
    <tableColumn id="1" name="Sequence"/>
    <tableColumn id="2" name="PicType"/>
    <tableColumn id="3" name="Core Cyc#/Frame" dataDxfId="521"/>
    <tableColumn id="4" name="Cpu Cyc#/Frame" dataDxfId="520"/>
    <tableColumn id="5" name="Target Freq. （ for 4K@30fps )" dataDxfId="519">
      <calculatedColumnFormula>表9_15161718243104[[#This Row],[Core Cyc'#/Frame]]*30/1000/1000</calculatedColumnFormula>
    </tableColumn>
    <tableColumn id="6" name="BW (MB)" dataDxfId="51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4" name="表9_15161718242912105" displayName="表9_15161718242912105" ref="A13:F20" totalsRowShown="0" headerRowDxfId="517">
  <autoFilter ref="A13:F20"/>
  <tableColumns count="6">
    <tableColumn id="1" name="Sequence"/>
    <tableColumn id="2" name="PicType"/>
    <tableColumn id="3" name="Core Cyc#/Frame" dataDxfId="516"/>
    <tableColumn id="4" name="Cpu Cyc#/Frame" dataDxfId="515"/>
    <tableColumn id="5" name="Target Freq. （ for 4K@30fps )" dataDxfId="514">
      <calculatedColumnFormula>表9_15161718242912105[[#This Row],[Core Cyc'#/Frame]]*30/1000/1000</calculatedColumnFormula>
    </tableColumn>
    <tableColumn id="6" name="BW (MB)" dataDxfId="51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05" name="表9_1516171824293019106" displayName="表9_1516171824293019106" ref="A22:F29" totalsRowShown="0" headerRowDxfId="512">
  <autoFilter ref="A22:F29"/>
  <tableColumns count="6">
    <tableColumn id="1" name="Sequence"/>
    <tableColumn id="2" name="PicType"/>
    <tableColumn id="3" name="Core Cyc#/Frame" dataDxfId="511"/>
    <tableColumn id="4" name="Cpu Cyc#/Frame" dataDxfId="510"/>
    <tableColumn id="5" name="Target Freq. （ for 4K@30fps )" dataDxfId="509">
      <calculatedColumnFormula>表9_1516171824293019106[[#This Row],[Core Cyc'#/Frame]]*30/1000/1000</calculatedColumnFormula>
    </tableColumn>
    <tableColumn id="6" name="BW (MB)" dataDxfId="508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06" name="表9_151617182429303120107" displayName="表9_151617182429303120107" ref="A31:F38" totalsRowShown="0" headerRowDxfId="507">
  <autoFilter ref="A31:F38"/>
  <tableColumns count="6">
    <tableColumn id="1" name="Sequence"/>
    <tableColumn id="2" name="PicType"/>
    <tableColumn id="3" name="Core Cyc#/Frame" dataDxfId="506"/>
    <tableColumn id="4" name="Cpu Cyc#/Frame" dataDxfId="505"/>
    <tableColumn id="5" name="Target Freq. （ for 4K@30fps )" dataDxfId="504">
      <calculatedColumnFormula>表9_1516171824293019[[#This Row],[Core Cyc'#/Frame]]*30/1000/1000</calculatedColumnFormula>
    </tableColumn>
    <tableColumn id="6" name="BW (MB)" dataDxfId="503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107" name="表9_15161718242930313221108" displayName="表9_15161718242930313221108" ref="A40:F47" totalsRowShown="0" headerRowDxfId="502">
  <autoFilter ref="A40:F47"/>
  <tableColumns count="6">
    <tableColumn id="1" name="Sequence"/>
    <tableColumn id="2" name="PicType"/>
    <tableColumn id="3" name="Core Cyc#/Frame" dataDxfId="501"/>
    <tableColumn id="4" name="Cpu Cyc#/Frame" dataDxfId="500"/>
    <tableColumn id="5" name="Target Freq. （ for 4K@30fps )" dataDxfId="499">
      <calculatedColumnFormula>表9_15161718242930313221108[[#This Row],[Core Cyc'#/Frame]]*30/1000/1000</calculatedColumnFormula>
    </tableColumn>
    <tableColumn id="6" name="BW (MB)" dataDxfId="49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108" name="表9_151617182429303132333422109" displayName="表9_151617182429303132333422109" ref="A84:F91" totalsRowShown="0" headerRowDxfId="497">
  <autoFilter ref="A84:F91"/>
  <tableColumns count="6">
    <tableColumn id="1" name="Sequence"/>
    <tableColumn id="2" name="PicType"/>
    <tableColumn id="3" name="Core Cyc#/Frame" dataDxfId="496"/>
    <tableColumn id="4" name="Cpu Cyc#/Frame" dataDxfId="495"/>
    <tableColumn id="5" name="Target Freq. （ for 4K@30fps )" dataDxfId="494">
      <calculatedColumnFormula>表9_151617182429303132333422109[[#This Row],[Core Cyc'#/Frame]]*30/1000/1000</calculatedColumnFormula>
    </tableColumn>
    <tableColumn id="6" name="BW (MB)" dataDxfId="493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109" name="表9_15161718242930313233343523110" displayName="表9_15161718242930313233343523110" ref="A93:F100" totalsRowShown="0" headerRowDxfId="492">
  <autoFilter ref="A93:F100"/>
  <tableColumns count="6">
    <tableColumn id="1" name="Sequence"/>
    <tableColumn id="2" name="PicType"/>
    <tableColumn id="3" name="Core Cyc#/Frame" dataDxfId="491"/>
    <tableColumn id="4" name="Cpu Cyc#/Frame" dataDxfId="490"/>
    <tableColumn id="5" name="Target Freq. （ for 4K@30fps )" dataDxfId="489">
      <calculatedColumnFormula>表9_15161718242930313233343523110[[#This Row],[Core Cyc'#/Frame]]*30/1000/1000</calculatedColumnFormula>
    </tableColumn>
    <tableColumn id="6" name="BW (MB)" dataDxfId="4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3" name="表9_1516171824293031323334" displayName="表9_1516171824293031323334" ref="A67:F72" totalsRowShown="0" headerRowDxfId="701">
  <autoFilter ref="A67:F72"/>
  <tableColumns count="6">
    <tableColumn id="1" name="Sequence"/>
    <tableColumn id="2" name="PicType"/>
    <tableColumn id="3" name="Core Cyc#/Frame"/>
    <tableColumn id="4" name="Cpu Cyc#/Frame" dataDxfId="700"/>
    <tableColumn id="5" name="Target Freq. （ for 4K@30fps )" dataDxfId="699">
      <calculatedColumnFormula>表9_1516171824293031323334[[#This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110" name="表9_1516171824293031323325111" displayName="表9_1516171824293031323325111" ref="A76:F82" totalsRowShown="0" headerRowDxfId="487">
  <autoFilter ref="A76:F82"/>
  <tableColumns count="6">
    <tableColumn id="1" name="Sequence"/>
    <tableColumn id="2" name="PicType"/>
    <tableColumn id="3" name="Core Cyc#/Frame" dataDxfId="486"/>
    <tableColumn id="4" name="Cpu Cyc#/Frame" dataDxfId="485"/>
    <tableColumn id="5" name="Target Freq. （ for 4K@30fps )" dataDxfId="484">
      <calculatedColumnFormula>表9_1516171824293031323325111[[#This Row],[Core Cyc'#/Frame]]*30/1000/1000</calculatedColumnFormula>
    </tableColumn>
    <tableColumn id="6" name="BW (MB)" dataDxfId="483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111" name="表9_1516171824293031323334353926112" displayName="表9_1516171824293031323334353926112" ref="A70:F74" totalsRowShown="0" headerRowDxfId="482">
  <autoFilter ref="A70:F74"/>
  <tableColumns count="6">
    <tableColumn id="1" name="Sequence"/>
    <tableColumn id="2" name="PicType"/>
    <tableColumn id="3" name="Core Cyc#/Frame" dataDxfId="481"/>
    <tableColumn id="4" name="Cpu Cyc#/Frame" dataDxfId="480"/>
    <tableColumn id="5" name="Target Freq. （ for 4K@30fps )" dataDxfId="479">
      <calculatedColumnFormula>表9_1516171824293031323334353926112[[#This Row],[Core Cyc'#/Frame]]*30/1000/1000</calculatedColumnFormula>
    </tableColumn>
    <tableColumn id="6" name="BW (MB)" dataDxfId="478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112" name="表9_1516171824293031323334354027113" displayName="表9_1516171824293031323334354027113" ref="A127:F130" totalsRowShown="0" headerRowDxfId="477">
  <autoFilter ref="A127:F130"/>
  <tableColumns count="6">
    <tableColumn id="1" name="Sequence"/>
    <tableColumn id="2" name="PicType"/>
    <tableColumn id="3" name="Core Cyc#/Frame" dataDxfId="476"/>
    <tableColumn id="4" name="Cpu Cyc#/Frame" dataDxfId="475"/>
    <tableColumn id="5" name="Target Freq. （ for 4K@30fps )" dataDxfId="474">
      <calculatedColumnFormula>表9_1516171824293031323334354027113[[#This Row],[Core Cyc'#/Frame]]*30/1000/1000</calculatedColumnFormula>
    </tableColumn>
    <tableColumn id="6" name="BW (MB)" dataDxfId="473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13" name="表9_151617182429303132333435404128114" displayName="表9_151617182429303132333435404128114" ref="A133:F137" totalsRowShown="0" headerRowDxfId="472">
  <autoFilter ref="A133:F137"/>
  <tableColumns count="6">
    <tableColumn id="1" name="Sequence"/>
    <tableColumn id="2" name="PicType"/>
    <tableColumn id="3" name="Core Cyc#/Frame" dataDxfId="471"/>
    <tableColumn id="4" name="Cpu Cyc#/Frame" dataDxfId="470"/>
    <tableColumn id="5" name="Target Freq. （ for 4K@30fps )" dataDxfId="469">
      <calculatedColumnFormula>表9_151617182429303132333435404128114[[#This Row],[Core Cyc'#/Frame]]*30/1000/1000</calculatedColumnFormula>
    </tableColumn>
    <tableColumn id="6" name="BW (MB)" dataDxfId="46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114" name="表9_15161718242930313233343540414236115" displayName="表9_15161718242930313233343540414236115" ref="A141:F148" totalsRowShown="0" headerRowDxfId="467">
  <autoFilter ref="A141:F148"/>
  <tableColumns count="6">
    <tableColumn id="1" name="Sequence"/>
    <tableColumn id="2" name="PicType"/>
    <tableColumn id="3" name="Core Cyc#/Frame" dataDxfId="466"/>
    <tableColumn id="4" name="Cpu Cyc#/Frame" dataDxfId="465"/>
    <tableColumn id="5" name="Target Freq. （ for 4K@30fps )" dataDxfId="464">
      <calculatedColumnFormula>表9_15161718242930313233343540414236115[[#This Row],[Core Cyc'#/Frame]]*30/1000/1000</calculatedColumnFormula>
    </tableColumn>
    <tableColumn id="6" name="BW (MB)" dataDxfId="463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115" name="表9_151617182429303132237116" displayName="表9_151617182429303132237116" ref="A49:F57" totalsRowShown="0" headerRowDxfId="462">
  <autoFilter ref="A49:F57"/>
  <tableColumns count="6">
    <tableColumn id="1" name="Sequence"/>
    <tableColumn id="2" name="PicType"/>
    <tableColumn id="3" name="Core Cyc#/Frame" dataDxfId="461"/>
    <tableColumn id="4" name="Cpu Cyc#/Frame" dataDxfId="460"/>
    <tableColumn id="5" name="Target Freq. （ for 4K@30fps )" dataDxfId="459">
      <calculatedColumnFormula>表9_151617182429303132237116[[#This Row],[Core Cyc'#/Frame]]*30/1000/1000</calculatedColumnFormula>
    </tableColumn>
    <tableColumn id="6" name="BW (MB)" dataDxfId="458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116" name="表9_151617182429303132333435438117" displayName="表9_151617182429303132333435438117" ref="A102:F109" totalsRowShown="0" headerRowDxfId="457">
  <autoFilter ref="A102:F109"/>
  <tableColumns count="6">
    <tableColumn id="1" name="Sequence"/>
    <tableColumn id="2" name="PicType"/>
    <tableColumn id="3" name="Core Cyc#/Frame" dataDxfId="456"/>
    <tableColumn id="4" name="Cpu Cyc#/Frame" dataDxfId="455"/>
    <tableColumn id="5" name="Target Freq. （ for 4K@30fps )" dataDxfId="454">
      <calculatedColumnFormula>表9_151617182429303132333435438117[[#This Row],[Core Cyc'#/Frame]]*30/1000/1000</calculatedColumnFormula>
    </tableColumn>
    <tableColumn id="6" name="BW (MB)" dataDxfId="453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117" name="表9_1516171824293031323334354043543118" displayName="表9_1516171824293031323334354043543118" ref="A122:F125" totalsRowShown="0" headerRowDxfId="452">
  <autoFilter ref="A122:F125"/>
  <tableColumns count="6">
    <tableColumn id="1" name="Sequence"/>
    <tableColumn id="2" name="PicType"/>
    <tableColumn id="3" name="Core Cyc#/Frame" dataDxfId="451"/>
    <tableColumn id="4" name="Cpu Cyc#/Frame" dataDxfId="450"/>
    <tableColumn id="5" name="Target Freq. （ for 4K@30fps )" dataDxfId="449">
      <calculatedColumnFormula>表9_1516171824293031323334354043543118[[#This Row],[Core Cyc'#/Frame]]*30/1000/1000</calculatedColumnFormula>
    </tableColumn>
    <tableColumn id="6" name="BW (MB)" dataDxfId="44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118" name="表9_151617182429303132333435404142644119" displayName="表9_151617182429303132333435404142644119" ref="A150:F157" totalsRowShown="0" headerRowDxfId="447">
  <autoFilter ref="A150:F157"/>
  <tableColumns count="6">
    <tableColumn id="1" name="Sequence"/>
    <tableColumn id="2" name="PicType"/>
    <tableColumn id="3" name="Core Cyc#/Frame" dataDxfId="446"/>
    <tableColumn id="4" name="Cpu Cyc#/Frame" dataDxfId="445"/>
    <tableColumn id="5" name="Target Freq. （ for 4K@30fps )" dataDxfId="444">
      <calculatedColumnFormula>表9_151617182429303132333435404142644119[[#This Row],[Core Cyc'#/Frame]]*30/1000/1000</calculatedColumnFormula>
    </tableColumn>
    <tableColumn id="6" name="BW (MB)" dataDxfId="4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119" name="表9_15161718242930313221653120" displayName="表9_15161718242930313221653120" ref="A59:F65" totalsRowShown="0" headerRowDxfId="442">
  <autoFilter ref="A59:F65"/>
  <tableColumns count="6">
    <tableColumn id="1" name="Sequence"/>
    <tableColumn id="2" name="PicType"/>
    <tableColumn id="3" name="Core Cyc#/Frame" dataDxfId="441"/>
    <tableColumn id="4" name="Cpu Cyc#/Frame" dataDxfId="440"/>
    <tableColumn id="5" name="Target Freq. （ for 4K@30fps )" dataDxfId="439">
      <calculatedColumnFormula>表9_15161718242930313221653120[[#This Row],[Core Cyc'#/Frame]]*30/1000/1000</calculatedColumnFormula>
    </tableColumn>
    <tableColumn id="6" name="BW (MB)" dataDxfId="4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表9_151617182429303132333435" displayName="表9_151617182429303132333435" ref="A74:F79" totalsRowShown="0" headerRowDxfId="698">
  <autoFilter ref="A74:F79"/>
  <tableColumns count="6">
    <tableColumn id="1" name="Sequence"/>
    <tableColumn id="2" name="PicType"/>
    <tableColumn id="3" name="Core Cyc#/Frame"/>
    <tableColumn id="4" name="Cpu Cyc#/Frame" dataDxfId="697"/>
    <tableColumn id="5" name="Target Freq. （ for 4K@30fps )" dataDxfId="696">
      <calculatedColumnFormula>表9_151617182429303132333435[[#This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120" name="表9_15161718242930313233343541754121" displayName="表9_15161718242930313233343541754121" ref="A111:F117" totalsRowShown="0" headerRowDxfId="437">
  <autoFilter ref="A111:F117"/>
  <tableColumns count="6">
    <tableColumn id="1" name="Sequence"/>
    <tableColumn id="2" name="PicType"/>
    <tableColumn id="3" name="Core Cyc#/Frame" dataDxfId="436"/>
    <tableColumn id="4" name="Cpu Cyc#/Frame" dataDxfId="435"/>
    <tableColumn id="5" name="Target Freq. （ for 4K@30fps )" dataDxfId="434">
      <calculatedColumnFormula>表9_15161718242930313233343541754121[[#This Row],[Core Cyc'#/Frame]]*30/1000/1000</calculatedColumnFormula>
    </tableColumn>
    <tableColumn id="6" name="BW (MB)" dataDxfId="433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121" name="表9_15161718242930313233343540414261855122" displayName="表9_15161718242930313233343540414261855122" ref="A159:F165" totalsRowShown="0" headerRowDxfId="432">
  <autoFilter ref="A159:F165"/>
  <tableColumns count="6">
    <tableColumn id="1" name="Sequence"/>
    <tableColumn id="2" name="PicType"/>
    <tableColumn id="3" name="Core Cyc#/Frame" dataDxfId="431"/>
    <tableColumn id="4" name="Cpu Cyc#/Frame" dataDxfId="430"/>
    <tableColumn id="5" name="Target Freq. （ for 4K@30fps )" dataDxfId="429">
      <calculatedColumnFormula>表9_15161718242930313233343540414261855122[[#This Row],[Core Cyc'#/Frame]]*30/1000/1000</calculatedColumnFormula>
    </tableColumn>
    <tableColumn id="6" name="BW (MB)" dataDxfId="428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124" name="表9_151617182429303132333435404142366747125" displayName="表9_151617182429303132333435404142366747125" ref="A261:F266" totalsRowShown="0" headerRowDxfId="427">
  <autoFilter ref="A261:F266"/>
  <tableColumns count="6">
    <tableColumn id="1" name="Sequence"/>
    <tableColumn id="2" name="PicType"/>
    <tableColumn id="3" name="Core Cyc#/Frame"/>
    <tableColumn id="4" name="Cpu Cyc#/Frame" dataDxfId="426"/>
    <tableColumn id="5" name="Target Freq. （ for 4K@30fps )" dataDxfId="425">
      <calculatedColumnFormula>表9_151617182429303132333435404142366747125[[#This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126" name="表9_1516171824293031323334354041426447149127" displayName="表9_1516171824293031323334354041426447149127" ref="A268:F274" totalsRowShown="0" headerRowDxfId="424">
  <autoFilter ref="A268:F274"/>
  <tableColumns count="6">
    <tableColumn id="1" name="Sequence"/>
    <tableColumn id="2" name="PicType"/>
    <tableColumn id="3" name="Core Cyc#/Frame"/>
    <tableColumn id="4" name="Cpu Cyc#/Frame" dataDxfId="423"/>
    <tableColumn id="5" name="Target Freq. （ for 4K@30fps )" dataDxfId="422">
      <calculatedColumnFormula>表9_1516171824293031323334354041426447149127[[#This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27" name="表9_151617182429303132333435404142618558250128" displayName="表9_151617182429303132333435404142618558250128" ref="A276:F281" totalsRowShown="0" headerRowDxfId="421">
  <autoFilter ref="A276:F281"/>
  <tableColumns count="6">
    <tableColumn id="1" name="Sequence"/>
    <tableColumn id="2" name="PicType"/>
    <tableColumn id="3" name="Core Cyc#/Frame"/>
    <tableColumn id="4" name="Cpu Cyc#/Frame" dataDxfId="420"/>
    <tableColumn id="5" name="Target Freq. （ for 4K@30fps )" dataDxfId="419"/>
    <tableColumn id="6" name="BW (MB)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28" name="表9_15161718242930313233343540414261855122129" displayName="表9_15161718242930313233343540414261855122129" ref="A168:F174" totalsRowShown="0" headerRowDxfId="418">
  <autoFilter ref="A168:F174"/>
  <tableColumns count="6">
    <tableColumn id="1" name="Sequence"/>
    <tableColumn id="2" name="PicType"/>
    <tableColumn id="3" name="Core Cyc#/Frame" dataDxfId="417"/>
    <tableColumn id="4" name="Cpu Cyc#/Frame" dataDxfId="416"/>
    <tableColumn id="5" name="Target Freq. （ for 4K@30fps )" dataDxfId="415">
      <calculatedColumnFormula>表9_15161718242930313233343540414261855122129[[#This Row],[Core Cyc'#/Frame]]*30/1000/1000</calculatedColumnFormula>
    </tableColumn>
    <tableColumn id="6" name="BW (MB)" dataDxfId="414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122" name="表9_15161718242930313233343540276545123" displayName="表9_15161718242930313233343540276545123" ref="A248:F251" totalsRowShown="0" headerRowDxfId="413">
  <autoFilter ref="A248:F251"/>
  <tableColumns count="6">
    <tableColumn id="1" name="Sequence"/>
    <tableColumn id="2" name="PicType"/>
    <tableColumn id="3" name="Core Cyc#/Frame"/>
    <tableColumn id="4" name="Cpu Cyc#/Frame" dataDxfId="412"/>
    <tableColumn id="5" name="Target Freq. （ for 4K@30fps )" dataDxfId="411"/>
    <tableColumn id="6" name="BW (MB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123" name="表9_1516171824293031323334354041286646124" displayName="表9_1516171824293031323334354041286646124" ref="A254:F258" totalsRowShown="0" headerRowDxfId="410">
  <autoFilter ref="A254:F258"/>
  <tableColumns count="6">
    <tableColumn id="1" name="Sequence"/>
    <tableColumn id="2" name="PicType"/>
    <tableColumn id="3" name="Core Cyc#/Frame"/>
    <tableColumn id="4" name="Cpu Cyc#/Frame" dataDxfId="409"/>
    <tableColumn id="5" name="Target Freq. （ for 4K@30fps )" dataDxfId="408"/>
    <tableColumn id="6" name="BW (MB)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125" name="表9_15161718242930313233343540435437048126" displayName="表9_15161718242930313233343540435437048126" ref="A243:F246" totalsRowShown="0" headerRowDxfId="407">
  <autoFilter ref="A243:F246"/>
  <tableColumns count="6">
    <tableColumn id="1" name="Sequence"/>
    <tableColumn id="2" name="PicType"/>
    <tableColumn id="3" name="Core Cyc#/Frame"/>
    <tableColumn id="4" name="Cpu Cyc#/Frame" dataDxfId="406"/>
    <tableColumn id="5" name="Target Freq. （ for 4K@30fps )" dataDxfId="405">
      <calculatedColumnFormula>表9_15161718242930313233343540435437048126[[#This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149" name="表9_1516171824293031323334354027113150" displayName="表9_1516171824293031323334354027113150" ref="A185:F190" totalsRowShown="0" headerRowDxfId="404">
  <autoFilter ref="A185:F190"/>
  <tableColumns count="6">
    <tableColumn id="1" name="Sequence"/>
    <tableColumn id="2" name="PicType"/>
    <tableColumn id="3" name="Core Cyc#/Frame" dataDxfId="403"/>
    <tableColumn id="4" name="Cpu Cyc#/Frame" dataDxfId="402"/>
    <tableColumn id="5" name="Target Freq. （ for 4K@30fps )" dataDxfId="401">
      <calculatedColumnFormula>表9_1516171824293031323334354027113150[[#This Row],[Core Cyc'#/Frame]]*30/1000/1000</calculatedColumnFormula>
    </tableColumn>
    <tableColumn id="6" name="BW (MB)" dataDxfId="4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2" name="表9_15161718242930313233" displayName="表9_15161718242930313233" ref="A61:F65" totalsRowShown="0" headerRowDxfId="695">
  <autoFilter ref="A61:F65"/>
  <tableColumns count="6">
    <tableColumn id="1" name="Sequence"/>
    <tableColumn id="2" name="PicType"/>
    <tableColumn id="3" name="Core Cyc#/Frame"/>
    <tableColumn id="4" name="Cpu Cyc#/Frame" dataDxfId="694"/>
    <tableColumn id="5" name="Target Freq. （ for 4K@30fps )" dataDxfId="693">
      <calculatedColumnFormula>表9_15161718242930313233[[#This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150" name="表9_151617182429303132333435404128114151" displayName="表9_151617182429303132333435404128114151" ref="A193:F199" totalsRowShown="0" headerRowDxfId="399">
  <autoFilter ref="A193:F199"/>
  <tableColumns count="6">
    <tableColumn id="1" name="Sequence"/>
    <tableColumn id="2" name="PicType"/>
    <tableColumn id="3" name="Core Cyc#/Frame" dataDxfId="398"/>
    <tableColumn id="4" name="Cpu Cyc#/Frame" dataDxfId="397"/>
    <tableColumn id="5" name="Target Freq. （ for 4K@30fps )" dataDxfId="396">
      <calculatedColumnFormula>表9_151617182429303132333435404128114151[[#This Row],[Core Cyc'#/Frame]]*30/1000/1000</calculatedColumnFormula>
    </tableColumn>
    <tableColumn id="6" name="BW (MB)" dataDxfId="395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51" name="表9_15161718242930313233343540414236115152" displayName="表9_15161718242930313233343540414236115152" ref="A203:F210" totalsRowShown="0" headerRowDxfId="394">
  <autoFilter ref="A203:F210"/>
  <tableColumns count="6">
    <tableColumn id="1" name="Sequence"/>
    <tableColumn id="2" name="PicType"/>
    <tableColumn id="3" name="Core Cyc#/Frame" dataDxfId="393"/>
    <tableColumn id="4" name="Cpu Cyc#/Frame" dataDxfId="392"/>
    <tableColumn id="5" name="Target Freq. （ for 4K@30fps )" dataDxfId="391">
      <calculatedColumnFormula>表9_15161718242930313233343540414236115152[[#This Row],[Core Cyc'#/Frame]]*30/1000/1000</calculatedColumnFormula>
    </tableColumn>
    <tableColumn id="6" name="BW (MB)" dataDxfId="390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52" name="表9_1516171824293031323334354043543118153" displayName="表9_1516171824293031323334354043543118153" ref="A179:F183" totalsRowShown="0" headerRowDxfId="389">
  <autoFilter ref="A179:F183"/>
  <tableColumns count="6">
    <tableColumn id="1" name="Sequence"/>
    <tableColumn id="2" name="PicType"/>
    <tableColumn id="3" name="Core Cyc#/Frame" dataDxfId="388"/>
    <tableColumn id="4" name="Cpu Cyc#/Frame" dataDxfId="387"/>
    <tableColumn id="5" name="Target Freq. （ for 4K@30fps )" dataDxfId="386">
      <calculatedColumnFormula>表9_1516171824293031323334354043543118153[[#This Row],[Core Cyc'#/Frame]]*30/1000/1000</calculatedColumnFormula>
    </tableColumn>
    <tableColumn id="6" name="BW (MB)" dataDxfId="385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53" name="表9_151617182429303132333435404142644119154" displayName="表9_151617182429303132333435404142644119154" ref="A212:F219" totalsRowShown="0" headerRowDxfId="384">
  <autoFilter ref="A212:F219"/>
  <tableColumns count="6">
    <tableColumn id="1" name="Sequence"/>
    <tableColumn id="2" name="PicType"/>
    <tableColumn id="3" name="Core Cyc#/Frame" dataDxfId="383"/>
    <tableColumn id="4" name="Cpu Cyc#/Frame" dataDxfId="382"/>
    <tableColumn id="5" name="Target Freq. （ for 4K@30fps )" dataDxfId="381">
      <calculatedColumnFormula>表9_151617182429303132333435404142644119154[[#This Row],[Core Cyc'#/Frame]]*30/1000/1000</calculatedColumnFormula>
    </tableColumn>
    <tableColumn id="6" name="BW (MB)" dataDxfId="380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154" name="表9_15161718242930313233343540414261855122155" displayName="表9_15161718242930313233343540414261855122155" ref="A221:F227" totalsRowShown="0" headerRowDxfId="379">
  <autoFilter ref="A221:F227"/>
  <tableColumns count="6">
    <tableColumn id="1" name="Sequence"/>
    <tableColumn id="2" name="PicType"/>
    <tableColumn id="3" name="Core Cyc#/Frame" dataDxfId="378"/>
    <tableColumn id="4" name="Cpu Cyc#/Frame" dataDxfId="377"/>
    <tableColumn id="5" name="Target Freq. （ for 4K@30fps )" dataDxfId="376">
      <calculatedColumnFormula>表9_15161718242930313233343540414261855122155[[#This Row],[Core Cyc'#/Frame]]*30/1000/1000</calculatedColumnFormula>
    </tableColumn>
    <tableColumn id="6" name="BW (MB)" dataDxfId="375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55" name="表9_15161718242930313233343540414261855122129156" displayName="表9_15161718242930313233343540414261855122129156" ref="A230:F236" totalsRowShown="0" headerRowDxfId="374">
  <autoFilter ref="A230:F236"/>
  <tableColumns count="6">
    <tableColumn id="1" name="Sequence"/>
    <tableColumn id="2" name="PicType"/>
    <tableColumn id="3" name="Core Cyc#/Frame" dataDxfId="373"/>
    <tableColumn id="4" name="Cpu Cyc#/Frame" dataDxfId="372"/>
    <tableColumn id="5" name="Target Freq. （ for 4K@30fps )" dataDxfId="371">
      <calculatedColumnFormula>表9_15161718242930313233343540414261855122129156[[#This Row],[Core Cyc'#/Frame]]*30/1000/1000</calculatedColumnFormula>
    </tableColumn>
    <tableColumn id="6" name="BW (MB)" dataDxfId="370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56" name="表9_15161718243104157" displayName="表9_15161718243104157" ref="A4:F11" totalsRowShown="0" headerRowDxfId="369">
  <autoFilter ref="A4:F11"/>
  <tableColumns count="6">
    <tableColumn id="1" name="Sequence"/>
    <tableColumn id="2" name="PicType"/>
    <tableColumn id="3" name="Core Cyc#/Frame" dataDxfId="368"/>
    <tableColumn id="4" name="Cpu Cyc#/Frame" dataDxfId="367"/>
    <tableColumn id="5" name="Target Freq. （ for 4K@30fps )" dataDxfId="366">
      <calculatedColumnFormula>表9_15161718243104157[[#This Row],[Core Cyc'#/Frame]]*30/1000/1000</calculatedColumnFormula>
    </tableColumn>
    <tableColumn id="6" name="BW (MB)" dataDxfId="365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57" name="表9_15161718242912105158" displayName="表9_15161718242912105158" ref="A13:F20" totalsRowShown="0" headerRowDxfId="364">
  <autoFilter ref="A13:F20"/>
  <tableColumns count="6">
    <tableColumn id="1" name="Sequence"/>
    <tableColumn id="2" name="PicType"/>
    <tableColumn id="3" name="Core Cyc#/Frame" dataDxfId="363"/>
    <tableColumn id="4" name="Cpu Cyc#/Frame" dataDxfId="362"/>
    <tableColumn id="5" name="Target Freq. （ for 4K@30fps )" dataDxfId="361">
      <calculatedColumnFormula>表9_15161718242912105158[[#This Row],[Core Cyc'#/Frame]]*30/1000/1000</calculatedColumnFormula>
    </tableColumn>
    <tableColumn id="6" name="BW (MB)" dataDxfId="36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158" name="表9_1516171824293019106159" displayName="表9_1516171824293019106159" ref="A22:F29" totalsRowShown="0" headerRowDxfId="359">
  <autoFilter ref="A22:F29"/>
  <tableColumns count="6">
    <tableColumn id="1" name="Sequence"/>
    <tableColumn id="2" name="PicType"/>
    <tableColumn id="3" name="Core Cyc#/Frame" dataDxfId="358"/>
    <tableColumn id="4" name="Cpu Cyc#/Frame" dataDxfId="357"/>
    <tableColumn id="5" name="Target Freq. （ for 4K@30fps )" dataDxfId="356">
      <calculatedColumnFormula>表9_1516171824293019106159[[#This Row],[Core Cyc'#/Frame]]*30/1000/1000</calculatedColumnFormula>
    </tableColumn>
    <tableColumn id="6" name="BW (MB)" dataDxfId="355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159" name="表9_151617182429303120107160" displayName="表9_151617182429303120107160" ref="A31:F38" totalsRowShown="0" headerRowDxfId="354">
  <autoFilter ref="A31:F38"/>
  <tableColumns count="6">
    <tableColumn id="1" name="Sequence"/>
    <tableColumn id="2" name="PicType"/>
    <tableColumn id="3" name="Core Cyc#/Frame" dataDxfId="353"/>
    <tableColumn id="4" name="Cpu Cyc#/Frame" dataDxfId="352"/>
    <tableColumn id="5" name="Target Freq. （ for 4K@30fps )" dataDxfId="351">
      <calculatedColumnFormula>表9_1516171824293019[[#This Row],[Core Cyc'#/Frame]]*30/1000/1000</calculatedColumnFormula>
    </tableColumn>
    <tableColumn id="6" name="BW (MB)" dataDxfId="3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8" name="表9_15161718242930313233343539" displayName="表9_15161718242930313233343539" ref="A56:F59" totalsRowShown="0" headerRowDxfId="692">
  <autoFilter ref="A56:F59"/>
  <tableColumns count="6">
    <tableColumn id="1" name="Sequence"/>
    <tableColumn id="2" name="PicType"/>
    <tableColumn id="3" name="Core Cyc#/Frame"/>
    <tableColumn id="4" name="Cpu Cyc#/Frame" dataDxfId="691"/>
    <tableColumn id="5" name="Target Freq. （ for 4K@30fps )" dataDxfId="690">
      <calculatedColumnFormula>表9_15161718242930313233343539[[#This Row],[Core Cyc'#/Frame]]*30/1000/1000</calculatedColumnFormula>
    </tableColumn>
    <tableColumn id="6" name="BW (MB)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160" name="表9_15161718242930313221108161" displayName="表9_15161718242930313221108161" ref="A40:F47" totalsRowShown="0" headerRowDxfId="349">
  <autoFilter ref="A40:F47"/>
  <tableColumns count="6">
    <tableColumn id="1" name="Sequence"/>
    <tableColumn id="2" name="PicType"/>
    <tableColumn id="3" name="Core Cyc#/Frame" dataDxfId="348"/>
    <tableColumn id="4" name="Cpu Cyc#/Frame" dataDxfId="347"/>
    <tableColumn id="5" name="Target Freq. （ for 4K@30fps )" dataDxfId="346">
      <calculatedColumnFormula>表9_15161718242930313221108161[[#This Row],[Core Cyc'#/Frame]]*30/1000/1000</calculatedColumnFormula>
    </tableColumn>
    <tableColumn id="6" name="BW (MB)" dataDxfId="345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161" name="表9_151617182429303132333422109162" displayName="表9_151617182429303132333422109162" ref="A84:F91" totalsRowShown="0" headerRowDxfId="344">
  <autoFilter ref="A84:F91"/>
  <tableColumns count="6">
    <tableColumn id="1" name="Sequence"/>
    <tableColumn id="2" name="PicType"/>
    <tableColumn id="3" name="Core Cyc#/Frame" dataDxfId="343"/>
    <tableColumn id="4" name="Cpu Cyc#/Frame" dataDxfId="342"/>
    <tableColumn id="5" name="Target Freq. （ for 4K@30fps )" dataDxfId="341">
      <calculatedColumnFormula>表9_151617182429303132333422109162[[#This Row],[Core Cyc'#/Frame]]*30/1000/1000</calculatedColumnFormula>
    </tableColumn>
    <tableColumn id="6" name="BW (MB)" dataDxfId="340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162" name="表9_15161718242930313233343523110163" displayName="表9_15161718242930313233343523110163" ref="A93:F100" totalsRowShown="0" headerRowDxfId="339">
  <autoFilter ref="A93:F100"/>
  <tableColumns count="6">
    <tableColumn id="1" name="Sequence"/>
    <tableColumn id="2" name="PicType"/>
    <tableColumn id="3" name="Core Cyc#/Frame" dataDxfId="338"/>
    <tableColumn id="4" name="Cpu Cyc#/Frame" dataDxfId="337"/>
    <tableColumn id="5" name="Target Freq. （ for 4K@30fps )" dataDxfId="336">
      <calculatedColumnFormula>表9_15161718242930313233343523110163[[#This Row],[Core Cyc'#/Frame]]*30/1000/1000</calculatedColumnFormula>
    </tableColumn>
    <tableColumn id="6" name="BW (MB)" dataDxfId="335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163" name="表9_1516171824293031323325111164" displayName="表9_1516171824293031323325111164" ref="A76:F82" totalsRowShown="0" headerRowDxfId="334">
  <autoFilter ref="A76:F82"/>
  <tableColumns count="6">
    <tableColumn id="1" name="Sequence"/>
    <tableColumn id="2" name="PicType"/>
    <tableColumn id="3" name="Core Cyc#/Frame" dataDxfId="333"/>
    <tableColumn id="4" name="Cpu Cyc#/Frame" dataDxfId="332"/>
    <tableColumn id="5" name="Target Freq. （ for 4K@30fps )" dataDxfId="331">
      <calculatedColumnFormula>表9_1516171824293031323325111164[[#This Row],[Core Cyc'#/Frame]]*30/1000/1000</calculatedColumnFormula>
    </tableColumn>
    <tableColumn id="6" name="BW (MB)" dataDxfId="33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164" name="表9_1516171824293031323334353926112165" displayName="表9_1516171824293031323334353926112165" ref="A70:F74" totalsRowShown="0" headerRowDxfId="329">
  <autoFilter ref="A70:F74"/>
  <tableColumns count="6">
    <tableColumn id="1" name="Sequence"/>
    <tableColumn id="2" name="PicType"/>
    <tableColumn id="3" name="Core Cyc#/Frame" dataDxfId="328"/>
    <tableColumn id="4" name="Cpu Cyc#/Frame" dataDxfId="327"/>
    <tableColumn id="5" name="Target Freq. （ for 4K@30fps )" dataDxfId="326">
      <calculatedColumnFormula>表9_1516171824293031323334353926112165[[#This Row],[Core Cyc'#/Frame]]*30/1000/1000</calculatedColumnFormula>
    </tableColumn>
    <tableColumn id="6" name="BW (MB)" dataDxfId="325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165" name="表9_1516171824293031323334354027113166" displayName="表9_1516171824293031323334354027113166" ref="A127:F131" totalsRowShown="0" headerRowDxfId="324">
  <autoFilter ref="A127:F131"/>
  <tableColumns count="6">
    <tableColumn id="1" name="Sequence"/>
    <tableColumn id="2" name="PicType"/>
    <tableColumn id="3" name="Core Cyc#/Frame" dataDxfId="323"/>
    <tableColumn id="4" name="Cpu Cyc#/Frame" dataDxfId="322"/>
    <tableColumn id="5" name="Target Freq. （ for 4K@30fps )" dataDxfId="321">
      <calculatedColumnFormula>表9_1516171824293031323334354027113166[[#This Row],[Core Cyc'#/Frame]]*30/1000/1000</calculatedColumnFormula>
    </tableColumn>
    <tableColumn id="6" name="BW (MB)" dataDxfId="32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166" name="表9_151617182429303132333435404128114167" displayName="表9_151617182429303132333435404128114167" ref="A134:F139" totalsRowShown="0" headerRowDxfId="319">
  <autoFilter ref="A134:F139"/>
  <tableColumns count="6">
    <tableColumn id="1" name="Sequence"/>
    <tableColumn id="2" name="PicType"/>
    <tableColumn id="3" name="Core Cyc#/Frame" dataDxfId="318"/>
    <tableColumn id="4" name="Cpu Cyc#/Frame" dataDxfId="317"/>
    <tableColumn id="5" name="Target Freq. （ for 4K@30fps )" dataDxfId="316">
      <calculatedColumnFormula>表9_151617182429303132333435404128114167[[#This Row],[Core Cyc'#/Frame]]*30/1000/1000</calculatedColumnFormula>
    </tableColumn>
    <tableColumn id="6" name="BW (MB)" dataDxfId="315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167" name="表9_15161718242930313233343540414236115168" displayName="表9_15161718242930313233343540414236115168" ref="A142:F149" totalsRowShown="0" headerRowDxfId="314">
  <autoFilter ref="A142:F149"/>
  <tableColumns count="6">
    <tableColumn id="1" name="Sequence"/>
    <tableColumn id="2" name="PicType"/>
    <tableColumn id="3" name="Core Cyc#/Frame" dataDxfId="313"/>
    <tableColumn id="4" name="Cpu Cyc#/Frame" dataDxfId="312"/>
    <tableColumn id="5" name="Target Freq. （ for 4K@30fps )" dataDxfId="311">
      <calculatedColumnFormula>表9_15161718242930313233343540414236115168[[#This Row],[Core Cyc'#/Frame]]*30/1000/1000</calculatedColumnFormula>
    </tableColumn>
    <tableColumn id="6" name="BW (MB)" dataDxfId="310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168" name="表9_151617182429303132237116169" displayName="表9_151617182429303132237116169" ref="A49:F57" totalsRowShown="0" headerRowDxfId="309">
  <autoFilter ref="A49:F57"/>
  <tableColumns count="6">
    <tableColumn id="1" name="Sequence"/>
    <tableColumn id="2" name="PicType"/>
    <tableColumn id="3" name="Core Cyc#/Frame" dataDxfId="308"/>
    <tableColumn id="4" name="Cpu Cyc#/Frame" dataDxfId="307"/>
    <tableColumn id="5" name="Target Freq. （ for 4K@30fps )" dataDxfId="306">
      <calculatedColumnFormula>表9_151617182429303132237116169[[#This Row],[Core Cyc'#/Frame]]*30/1000/1000</calculatedColumnFormula>
    </tableColumn>
    <tableColumn id="6" name="BW (MB)" dataDxfId="305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169" name="表9_151617182429303132333435438117170" displayName="表9_151617182429303132333435438117170" ref="A102:F109" totalsRowShown="0" headerRowDxfId="304">
  <autoFilter ref="A102:F109"/>
  <tableColumns count="6">
    <tableColumn id="1" name="Sequence"/>
    <tableColumn id="2" name="PicType"/>
    <tableColumn id="3" name="Core Cyc#/Frame" dataDxfId="303"/>
    <tableColumn id="4" name="Cpu Cyc#/Frame" dataDxfId="302"/>
    <tableColumn id="5" name="Target Freq. （ for 4K@30fps )" dataDxfId="301">
      <calculatedColumnFormula>表9_151617182429303132333435438117170[[#This Row],[Core Cyc'#/Frame]]*30/1000/1000</calculatedColumnFormula>
    </tableColumn>
    <tableColumn id="6" name="BW (MB)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18" Type="http://schemas.openxmlformats.org/officeDocument/2006/relationships/table" Target="../tables/table44.xml"/><Relationship Id="rId26" Type="http://schemas.openxmlformats.org/officeDocument/2006/relationships/table" Target="../tables/table52.xml"/><Relationship Id="rId3" Type="http://schemas.openxmlformats.org/officeDocument/2006/relationships/table" Target="../tables/table29.xml"/><Relationship Id="rId21" Type="http://schemas.openxmlformats.org/officeDocument/2006/relationships/table" Target="../tables/table47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17" Type="http://schemas.openxmlformats.org/officeDocument/2006/relationships/table" Target="../tables/table43.xml"/><Relationship Id="rId25" Type="http://schemas.openxmlformats.org/officeDocument/2006/relationships/table" Target="../tables/table51.xml"/><Relationship Id="rId2" Type="http://schemas.openxmlformats.org/officeDocument/2006/relationships/table" Target="../tables/table28.xml"/><Relationship Id="rId16" Type="http://schemas.openxmlformats.org/officeDocument/2006/relationships/table" Target="../tables/table42.xml"/><Relationship Id="rId20" Type="http://schemas.openxmlformats.org/officeDocument/2006/relationships/table" Target="../tables/table4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24" Type="http://schemas.openxmlformats.org/officeDocument/2006/relationships/table" Target="../tables/table50.xml"/><Relationship Id="rId5" Type="http://schemas.openxmlformats.org/officeDocument/2006/relationships/table" Target="../tables/table31.xml"/><Relationship Id="rId15" Type="http://schemas.openxmlformats.org/officeDocument/2006/relationships/table" Target="../tables/table41.xml"/><Relationship Id="rId23" Type="http://schemas.openxmlformats.org/officeDocument/2006/relationships/table" Target="../tables/table49.xml"/><Relationship Id="rId10" Type="http://schemas.openxmlformats.org/officeDocument/2006/relationships/table" Target="../tables/table36.xml"/><Relationship Id="rId19" Type="http://schemas.openxmlformats.org/officeDocument/2006/relationships/table" Target="../tables/table45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Relationship Id="rId14" Type="http://schemas.openxmlformats.org/officeDocument/2006/relationships/table" Target="../tables/table40.xml"/><Relationship Id="rId22" Type="http://schemas.openxmlformats.org/officeDocument/2006/relationships/table" Target="../tables/table4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9.xml"/><Relationship Id="rId13" Type="http://schemas.openxmlformats.org/officeDocument/2006/relationships/table" Target="../tables/table64.xml"/><Relationship Id="rId18" Type="http://schemas.openxmlformats.org/officeDocument/2006/relationships/table" Target="../tables/table69.xml"/><Relationship Id="rId26" Type="http://schemas.openxmlformats.org/officeDocument/2006/relationships/table" Target="../tables/table77.xml"/><Relationship Id="rId3" Type="http://schemas.openxmlformats.org/officeDocument/2006/relationships/table" Target="../tables/table54.xml"/><Relationship Id="rId21" Type="http://schemas.openxmlformats.org/officeDocument/2006/relationships/table" Target="../tables/table72.xml"/><Relationship Id="rId34" Type="http://schemas.openxmlformats.org/officeDocument/2006/relationships/table" Target="../tables/table85.xml"/><Relationship Id="rId7" Type="http://schemas.openxmlformats.org/officeDocument/2006/relationships/table" Target="../tables/table58.xml"/><Relationship Id="rId12" Type="http://schemas.openxmlformats.org/officeDocument/2006/relationships/table" Target="../tables/table63.xml"/><Relationship Id="rId17" Type="http://schemas.openxmlformats.org/officeDocument/2006/relationships/table" Target="../tables/table68.xml"/><Relationship Id="rId25" Type="http://schemas.openxmlformats.org/officeDocument/2006/relationships/table" Target="../tables/table76.xml"/><Relationship Id="rId33" Type="http://schemas.openxmlformats.org/officeDocument/2006/relationships/table" Target="../tables/table84.xml"/><Relationship Id="rId2" Type="http://schemas.openxmlformats.org/officeDocument/2006/relationships/table" Target="../tables/table53.xml"/><Relationship Id="rId16" Type="http://schemas.openxmlformats.org/officeDocument/2006/relationships/table" Target="../tables/table67.xml"/><Relationship Id="rId20" Type="http://schemas.openxmlformats.org/officeDocument/2006/relationships/table" Target="../tables/table71.xml"/><Relationship Id="rId29" Type="http://schemas.openxmlformats.org/officeDocument/2006/relationships/table" Target="../tables/table8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7.xml"/><Relationship Id="rId11" Type="http://schemas.openxmlformats.org/officeDocument/2006/relationships/table" Target="../tables/table62.xml"/><Relationship Id="rId24" Type="http://schemas.openxmlformats.org/officeDocument/2006/relationships/table" Target="../tables/table75.xml"/><Relationship Id="rId32" Type="http://schemas.openxmlformats.org/officeDocument/2006/relationships/table" Target="../tables/table83.xml"/><Relationship Id="rId5" Type="http://schemas.openxmlformats.org/officeDocument/2006/relationships/table" Target="../tables/table56.xml"/><Relationship Id="rId15" Type="http://schemas.openxmlformats.org/officeDocument/2006/relationships/table" Target="../tables/table66.xml"/><Relationship Id="rId23" Type="http://schemas.openxmlformats.org/officeDocument/2006/relationships/table" Target="../tables/table74.xml"/><Relationship Id="rId28" Type="http://schemas.openxmlformats.org/officeDocument/2006/relationships/table" Target="../tables/table79.xml"/><Relationship Id="rId10" Type="http://schemas.openxmlformats.org/officeDocument/2006/relationships/table" Target="../tables/table61.xml"/><Relationship Id="rId19" Type="http://schemas.openxmlformats.org/officeDocument/2006/relationships/table" Target="../tables/table70.xml"/><Relationship Id="rId31" Type="http://schemas.openxmlformats.org/officeDocument/2006/relationships/table" Target="../tables/table82.xml"/><Relationship Id="rId4" Type="http://schemas.openxmlformats.org/officeDocument/2006/relationships/table" Target="../tables/table55.xml"/><Relationship Id="rId9" Type="http://schemas.openxmlformats.org/officeDocument/2006/relationships/table" Target="../tables/table60.xml"/><Relationship Id="rId14" Type="http://schemas.openxmlformats.org/officeDocument/2006/relationships/table" Target="../tables/table65.xml"/><Relationship Id="rId22" Type="http://schemas.openxmlformats.org/officeDocument/2006/relationships/table" Target="../tables/table73.xml"/><Relationship Id="rId27" Type="http://schemas.openxmlformats.org/officeDocument/2006/relationships/table" Target="../tables/table78.xml"/><Relationship Id="rId30" Type="http://schemas.openxmlformats.org/officeDocument/2006/relationships/table" Target="../tables/table8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3.xml"/><Relationship Id="rId13" Type="http://schemas.openxmlformats.org/officeDocument/2006/relationships/table" Target="../tables/table98.xml"/><Relationship Id="rId18" Type="http://schemas.openxmlformats.org/officeDocument/2006/relationships/table" Target="../tables/table103.xml"/><Relationship Id="rId26" Type="http://schemas.openxmlformats.org/officeDocument/2006/relationships/table" Target="../tables/table111.xml"/><Relationship Id="rId3" Type="http://schemas.openxmlformats.org/officeDocument/2006/relationships/table" Target="../tables/table88.xml"/><Relationship Id="rId21" Type="http://schemas.openxmlformats.org/officeDocument/2006/relationships/table" Target="../tables/table106.xml"/><Relationship Id="rId7" Type="http://schemas.openxmlformats.org/officeDocument/2006/relationships/table" Target="../tables/table92.xml"/><Relationship Id="rId12" Type="http://schemas.openxmlformats.org/officeDocument/2006/relationships/table" Target="../tables/table97.xml"/><Relationship Id="rId17" Type="http://schemas.openxmlformats.org/officeDocument/2006/relationships/table" Target="../tables/table102.xml"/><Relationship Id="rId25" Type="http://schemas.openxmlformats.org/officeDocument/2006/relationships/table" Target="../tables/table110.xml"/><Relationship Id="rId2" Type="http://schemas.openxmlformats.org/officeDocument/2006/relationships/table" Target="../tables/table87.xml"/><Relationship Id="rId16" Type="http://schemas.openxmlformats.org/officeDocument/2006/relationships/table" Target="../tables/table101.xml"/><Relationship Id="rId20" Type="http://schemas.openxmlformats.org/officeDocument/2006/relationships/table" Target="../tables/table105.xml"/><Relationship Id="rId1" Type="http://schemas.openxmlformats.org/officeDocument/2006/relationships/table" Target="../tables/table86.xml"/><Relationship Id="rId6" Type="http://schemas.openxmlformats.org/officeDocument/2006/relationships/table" Target="../tables/table91.xml"/><Relationship Id="rId11" Type="http://schemas.openxmlformats.org/officeDocument/2006/relationships/table" Target="../tables/table96.xml"/><Relationship Id="rId24" Type="http://schemas.openxmlformats.org/officeDocument/2006/relationships/table" Target="../tables/table109.xml"/><Relationship Id="rId5" Type="http://schemas.openxmlformats.org/officeDocument/2006/relationships/table" Target="../tables/table90.xml"/><Relationship Id="rId15" Type="http://schemas.openxmlformats.org/officeDocument/2006/relationships/table" Target="../tables/table100.xml"/><Relationship Id="rId23" Type="http://schemas.openxmlformats.org/officeDocument/2006/relationships/table" Target="../tables/table108.xml"/><Relationship Id="rId10" Type="http://schemas.openxmlformats.org/officeDocument/2006/relationships/table" Target="../tables/table95.xml"/><Relationship Id="rId19" Type="http://schemas.openxmlformats.org/officeDocument/2006/relationships/table" Target="../tables/table104.xml"/><Relationship Id="rId4" Type="http://schemas.openxmlformats.org/officeDocument/2006/relationships/table" Target="../tables/table89.xml"/><Relationship Id="rId9" Type="http://schemas.openxmlformats.org/officeDocument/2006/relationships/table" Target="../tables/table94.xml"/><Relationship Id="rId14" Type="http://schemas.openxmlformats.org/officeDocument/2006/relationships/table" Target="../tables/table99.xml"/><Relationship Id="rId22" Type="http://schemas.openxmlformats.org/officeDocument/2006/relationships/table" Target="../tables/table107.xml"/><Relationship Id="rId27" Type="http://schemas.openxmlformats.org/officeDocument/2006/relationships/table" Target="../tables/table1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8.xml"/><Relationship Id="rId13" Type="http://schemas.openxmlformats.org/officeDocument/2006/relationships/table" Target="../tables/table123.xml"/><Relationship Id="rId18" Type="http://schemas.openxmlformats.org/officeDocument/2006/relationships/table" Target="../tables/table128.xml"/><Relationship Id="rId3" Type="http://schemas.openxmlformats.org/officeDocument/2006/relationships/table" Target="../tables/table113.xml"/><Relationship Id="rId7" Type="http://schemas.openxmlformats.org/officeDocument/2006/relationships/table" Target="../tables/table117.xml"/><Relationship Id="rId12" Type="http://schemas.openxmlformats.org/officeDocument/2006/relationships/table" Target="../tables/table122.xml"/><Relationship Id="rId17" Type="http://schemas.openxmlformats.org/officeDocument/2006/relationships/table" Target="../tables/table127.xml"/><Relationship Id="rId2" Type="http://schemas.openxmlformats.org/officeDocument/2006/relationships/drawing" Target="../drawings/drawing1.xml"/><Relationship Id="rId16" Type="http://schemas.openxmlformats.org/officeDocument/2006/relationships/table" Target="../tables/table126.xml"/><Relationship Id="rId20" Type="http://schemas.openxmlformats.org/officeDocument/2006/relationships/table" Target="../tables/table1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6.xml"/><Relationship Id="rId11" Type="http://schemas.openxmlformats.org/officeDocument/2006/relationships/table" Target="../tables/table121.xml"/><Relationship Id="rId5" Type="http://schemas.openxmlformats.org/officeDocument/2006/relationships/table" Target="../tables/table115.xml"/><Relationship Id="rId15" Type="http://schemas.openxmlformats.org/officeDocument/2006/relationships/table" Target="../tables/table125.xml"/><Relationship Id="rId10" Type="http://schemas.openxmlformats.org/officeDocument/2006/relationships/table" Target="../tables/table120.xml"/><Relationship Id="rId19" Type="http://schemas.openxmlformats.org/officeDocument/2006/relationships/table" Target="../tables/table129.xml"/><Relationship Id="rId4" Type="http://schemas.openxmlformats.org/officeDocument/2006/relationships/table" Target="../tables/table114.xml"/><Relationship Id="rId9" Type="http://schemas.openxmlformats.org/officeDocument/2006/relationships/table" Target="../tables/table119.xml"/><Relationship Id="rId14" Type="http://schemas.openxmlformats.org/officeDocument/2006/relationships/table" Target="../tables/table12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7.xml"/><Relationship Id="rId3" Type="http://schemas.openxmlformats.org/officeDocument/2006/relationships/table" Target="../tables/table132.xml"/><Relationship Id="rId7" Type="http://schemas.openxmlformats.org/officeDocument/2006/relationships/table" Target="../tables/table136.xml"/><Relationship Id="rId2" Type="http://schemas.openxmlformats.org/officeDocument/2006/relationships/table" Target="../tables/table13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35.xml"/><Relationship Id="rId11" Type="http://schemas.openxmlformats.org/officeDocument/2006/relationships/table" Target="../tables/table140.xml"/><Relationship Id="rId5" Type="http://schemas.openxmlformats.org/officeDocument/2006/relationships/table" Target="../tables/table134.xml"/><Relationship Id="rId10" Type="http://schemas.openxmlformats.org/officeDocument/2006/relationships/table" Target="../tables/table139.xml"/><Relationship Id="rId4" Type="http://schemas.openxmlformats.org/officeDocument/2006/relationships/table" Target="../tables/table133.xml"/><Relationship Id="rId9" Type="http://schemas.openxmlformats.org/officeDocument/2006/relationships/table" Target="../tables/table1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F4" sqref="F4"/>
    </sheetView>
  </sheetViews>
  <sheetFormatPr defaultRowHeight="13.5" x14ac:dyDescent="0.15"/>
  <cols>
    <col min="1" max="1" width="30.875" customWidth="1"/>
    <col min="2" max="2" width="11.625" bestFit="1" customWidth="1"/>
    <col min="3" max="3" width="21.5" customWidth="1"/>
    <col min="4" max="4" width="20.25" bestFit="1" customWidth="1"/>
    <col min="5" max="5" width="35.125" customWidth="1"/>
    <col min="6" max="6" width="11.625" bestFit="1" customWidth="1"/>
  </cols>
  <sheetData>
    <row r="1" spans="1:6" x14ac:dyDescent="0.15">
      <c r="A1" s="1" t="s">
        <v>23</v>
      </c>
    </row>
    <row r="2" spans="1:6" x14ac:dyDescent="0.15">
      <c r="A2" t="s">
        <v>4</v>
      </c>
    </row>
    <row r="3" spans="1:6" x14ac:dyDescent="0.15">
      <c r="A3" s="1" t="s">
        <v>1</v>
      </c>
      <c r="B3" s="1" t="s">
        <v>2</v>
      </c>
      <c r="C3" s="1" t="s">
        <v>6</v>
      </c>
      <c r="D3" s="1" t="s">
        <v>7</v>
      </c>
      <c r="E3" s="1" t="s">
        <v>8</v>
      </c>
      <c r="F3" s="1" t="s">
        <v>5</v>
      </c>
    </row>
    <row r="4" spans="1:6" x14ac:dyDescent="0.15">
      <c r="A4" t="s">
        <v>3</v>
      </c>
      <c r="B4" t="s">
        <v>0</v>
      </c>
      <c r="C4">
        <v>18972672</v>
      </c>
      <c r="D4" s="2">
        <v>19539397</v>
      </c>
      <c r="E4" s="2">
        <f>表9_1516171824[[#This Row],[Core Cyc'#/Frame]]*30/1000/1000</f>
        <v>569.18016</v>
      </c>
      <c r="F4">
        <v>19</v>
      </c>
    </row>
    <row r="5" spans="1:6" x14ac:dyDescent="0.15">
      <c r="B5" t="s">
        <v>9</v>
      </c>
      <c r="C5">
        <v>25264128</v>
      </c>
      <c r="D5" s="2">
        <v>25814171</v>
      </c>
      <c r="E5" s="2">
        <f>表9_1516171824[[#This Row],[Core Cyc'#/Frame]]*30/1000/1000</f>
        <v>757.92383999999993</v>
      </c>
      <c r="F5">
        <v>30</v>
      </c>
    </row>
    <row r="6" spans="1:6" x14ac:dyDescent="0.15">
      <c r="D6" s="2"/>
      <c r="E6" s="2"/>
    </row>
    <row r="7" spans="1:6" x14ac:dyDescent="0.15">
      <c r="A7" s="1" t="s">
        <v>24</v>
      </c>
      <c r="D7" s="2"/>
      <c r="E7" s="2">
        <f>表9_1516171824[[#This Row],[Core Cyc'#/Frame]]*30/1000/1000</f>
        <v>0</v>
      </c>
    </row>
    <row r="8" spans="1:6" x14ac:dyDescent="0.15">
      <c r="A8" t="s">
        <v>4</v>
      </c>
    </row>
    <row r="9" spans="1:6" x14ac:dyDescent="0.15">
      <c r="A9" s="1" t="s">
        <v>1</v>
      </c>
      <c r="B9" s="1" t="s">
        <v>2</v>
      </c>
      <c r="C9" s="1" t="s">
        <v>6</v>
      </c>
      <c r="D9" s="1" t="s">
        <v>7</v>
      </c>
      <c r="E9" s="1" t="s">
        <v>8</v>
      </c>
      <c r="F9" s="1" t="s">
        <v>5</v>
      </c>
    </row>
    <row r="10" spans="1:6" x14ac:dyDescent="0.15">
      <c r="A10" t="s">
        <v>3</v>
      </c>
      <c r="B10" t="s">
        <v>0</v>
      </c>
      <c r="C10">
        <v>15728640</v>
      </c>
      <c r="D10" s="2">
        <v>16259875</v>
      </c>
      <c r="E10" s="2">
        <f>表9_151617182429[[#This Row],[Core Cyc'#/Frame]]*30/1000/1000</f>
        <v>471.85919999999999</v>
      </c>
      <c r="F10">
        <v>19</v>
      </c>
    </row>
    <row r="11" spans="1:6" x14ac:dyDescent="0.15">
      <c r="B11" t="s">
        <v>9</v>
      </c>
      <c r="C11">
        <v>21233664</v>
      </c>
      <c r="D11" s="2">
        <v>21798067</v>
      </c>
      <c r="E11" s="2">
        <f>表9_151617182429[[#This Row],[Core Cyc'#/Frame]]*30/1000/1000</f>
        <v>637.00992000000008</v>
      </c>
      <c r="F11">
        <v>29</v>
      </c>
    </row>
    <row r="12" spans="1:6" x14ac:dyDescent="0.15">
      <c r="B12" t="s">
        <v>10</v>
      </c>
      <c r="C12">
        <v>25657344</v>
      </c>
      <c r="D12" s="2">
        <v>26227851</v>
      </c>
      <c r="E12" s="2">
        <f>表9_151617182429[[#This Row],[Core Cyc'#/Frame]]*30/1000/1000</f>
        <v>769.7203199999999</v>
      </c>
      <c r="F12">
        <v>38</v>
      </c>
    </row>
    <row r="13" spans="1:6" x14ac:dyDescent="0.15">
      <c r="D13" s="2"/>
      <c r="E13" s="2"/>
    </row>
    <row r="14" spans="1:6" x14ac:dyDescent="0.15">
      <c r="A14" s="3" t="s">
        <v>25</v>
      </c>
      <c r="B14" s="4"/>
      <c r="C14" s="4"/>
      <c r="D14" s="5"/>
      <c r="E14" s="6">
        <f>表9_151617182429[[#This Row],[Core Cyc'#/Frame]]*30/1000/1000</f>
        <v>0</v>
      </c>
      <c r="F14" s="4"/>
    </row>
    <row r="15" spans="1:6" x14ac:dyDescent="0.15">
      <c r="A15" t="s">
        <v>4</v>
      </c>
    </row>
    <row r="16" spans="1:6" x14ac:dyDescent="0.15">
      <c r="A16" s="1" t="s">
        <v>1</v>
      </c>
      <c r="B16" s="1" t="s">
        <v>2</v>
      </c>
      <c r="C16" s="1" t="s">
        <v>6</v>
      </c>
      <c r="D16" s="1" t="s">
        <v>7</v>
      </c>
      <c r="E16" s="1" t="s">
        <v>8</v>
      </c>
      <c r="F16" s="1" t="s">
        <v>5</v>
      </c>
    </row>
    <row r="17" spans="1:6" x14ac:dyDescent="0.15">
      <c r="A17" t="s">
        <v>3</v>
      </c>
      <c r="B17" t="s">
        <v>0</v>
      </c>
      <c r="C17">
        <v>12451840</v>
      </c>
      <c r="D17" s="2">
        <v>12985755</v>
      </c>
      <c r="E17" s="2">
        <f>表9_15161718242930[[#This Row],[Core Cyc'#/Frame]]*30/1000/1000</f>
        <v>373.55520000000001</v>
      </c>
      <c r="F17">
        <v>19</v>
      </c>
    </row>
    <row r="18" spans="1:6" x14ac:dyDescent="0.15">
      <c r="B18" t="s">
        <v>9</v>
      </c>
      <c r="C18">
        <v>16646144</v>
      </c>
      <c r="D18" s="2">
        <v>17188987</v>
      </c>
      <c r="E18" s="2">
        <f>表9_15161718242930[[#This Row],[Core Cyc'#/Frame]]*30/1000/1000</f>
        <v>499.38432</v>
      </c>
      <c r="F18">
        <v>30</v>
      </c>
    </row>
    <row r="19" spans="1:6" x14ac:dyDescent="0.15">
      <c r="B19" t="s">
        <v>10</v>
      </c>
      <c r="C19">
        <v>19791872</v>
      </c>
      <c r="D19" s="2">
        <v>20352811</v>
      </c>
      <c r="E19" s="2">
        <f>表9_15161718242930[[#This Row],[Core Cyc'#/Frame]]*30/1000/1000</f>
        <v>593.75616000000002</v>
      </c>
      <c r="F19">
        <v>38</v>
      </c>
    </row>
    <row r="20" spans="1:6" x14ac:dyDescent="0.15">
      <c r="B20" t="s">
        <v>9</v>
      </c>
      <c r="C20">
        <v>16777216</v>
      </c>
      <c r="D20" s="2">
        <v>17334275</v>
      </c>
      <c r="E20" s="2">
        <f>表9_15161718242930[[#This Row],[Core Cyc'#/Frame]]*30/1000/1000</f>
        <v>503.31647999999996</v>
      </c>
      <c r="F20">
        <v>30</v>
      </c>
    </row>
    <row r="21" spans="1:6" x14ac:dyDescent="0.15">
      <c r="A21" s="3" t="s">
        <v>26</v>
      </c>
      <c r="B21" s="4"/>
      <c r="C21" s="4"/>
      <c r="D21" s="5"/>
      <c r="E21" s="6"/>
      <c r="F21" s="4"/>
    </row>
    <row r="22" spans="1:6" x14ac:dyDescent="0.15">
      <c r="A22" t="s">
        <v>4</v>
      </c>
    </row>
    <row r="23" spans="1:6" x14ac:dyDescent="0.15">
      <c r="A23" s="1" t="s">
        <v>1</v>
      </c>
      <c r="B23" s="1" t="s">
        <v>2</v>
      </c>
      <c r="C23" s="1" t="s">
        <v>6</v>
      </c>
      <c r="D23" s="1" t="s">
        <v>7</v>
      </c>
      <c r="E23" s="1" t="s">
        <v>8</v>
      </c>
      <c r="F23" s="1" t="s">
        <v>5</v>
      </c>
    </row>
    <row r="24" spans="1:6" x14ac:dyDescent="0.15">
      <c r="A24" t="s">
        <v>3</v>
      </c>
      <c r="B24" t="s">
        <v>0</v>
      </c>
      <c r="C24">
        <v>12386304</v>
      </c>
      <c r="D24" s="2">
        <v>12944803</v>
      </c>
      <c r="E24" s="2">
        <f>表9_1516171824293031[[#This Row],[Core Cyc'#/Frame]]*30/1000/1000</f>
        <v>371.58911999999998</v>
      </c>
      <c r="F24">
        <v>19</v>
      </c>
    </row>
    <row r="25" spans="1:6" x14ac:dyDescent="0.15">
      <c r="B25" t="s">
        <v>9</v>
      </c>
      <c r="C25">
        <v>14417920</v>
      </c>
      <c r="D25" s="2">
        <v>14965923</v>
      </c>
      <c r="E25" s="2">
        <f>表9_1516171824293031[[#This Row],[Core Cyc'#/Frame]]*30/1000/1000</f>
        <v>432.5376</v>
      </c>
      <c r="F25">
        <v>30</v>
      </c>
    </row>
    <row r="26" spans="1:6" x14ac:dyDescent="0.15">
      <c r="B26" t="s">
        <v>10</v>
      </c>
      <c r="C26">
        <v>16646144</v>
      </c>
      <c r="D26" s="2">
        <v>17179835</v>
      </c>
      <c r="E26" s="2">
        <f>表9_1516171824293031[[#This Row],[Core Cyc'#/Frame]]*30/1000/1000</f>
        <v>499.38432</v>
      </c>
      <c r="F26">
        <v>38</v>
      </c>
    </row>
    <row r="27" spans="1:6" x14ac:dyDescent="0.15">
      <c r="B27" t="s">
        <v>9</v>
      </c>
      <c r="C27">
        <v>14516224</v>
      </c>
      <c r="D27" s="2">
        <v>15077067</v>
      </c>
      <c r="E27" s="2">
        <f>表9_1516171824293031[[#This Row],[Core Cyc'#/Frame]]*30/1000/1000</f>
        <v>435.48671999999999</v>
      </c>
      <c r="F27">
        <v>30</v>
      </c>
    </row>
    <row r="28" spans="1:6" x14ac:dyDescent="0.15">
      <c r="A28" s="3" t="s">
        <v>27</v>
      </c>
      <c r="B28" s="4"/>
      <c r="C28" s="4"/>
      <c r="D28" s="5"/>
      <c r="E28" s="6">
        <f>表9_1516171824293031[[#This Row],[Core Cyc'#/Frame]]*30/1000/1000</f>
        <v>0</v>
      </c>
      <c r="F28" s="4"/>
    </row>
    <row r="29" spans="1:6" x14ac:dyDescent="0.15">
      <c r="A29" t="s">
        <v>4</v>
      </c>
    </row>
    <row r="30" spans="1:6" x14ac:dyDescent="0.15">
      <c r="A30" s="1" t="s">
        <v>1</v>
      </c>
      <c r="B30" s="1" t="s">
        <v>2</v>
      </c>
      <c r="C30" s="1" t="s">
        <v>6</v>
      </c>
      <c r="D30" s="1" t="s">
        <v>7</v>
      </c>
      <c r="E30" s="1" t="s">
        <v>8</v>
      </c>
      <c r="F30" s="1" t="s">
        <v>5</v>
      </c>
    </row>
    <row r="31" spans="1:6" x14ac:dyDescent="0.15">
      <c r="A31" t="s">
        <v>3</v>
      </c>
      <c r="B31" t="s">
        <v>0</v>
      </c>
      <c r="C31">
        <v>12386304</v>
      </c>
      <c r="D31" s="2">
        <v>12944803</v>
      </c>
      <c r="E31" s="2">
        <f>表9_151617182429303132[[#This Row],[Core Cyc'#/Frame]]*30/1000/1000</f>
        <v>371.58911999999998</v>
      </c>
      <c r="F31">
        <v>19</v>
      </c>
    </row>
    <row r="32" spans="1:6" x14ac:dyDescent="0.15">
      <c r="B32" t="s">
        <v>9</v>
      </c>
      <c r="C32">
        <v>13500416</v>
      </c>
      <c r="D32" s="2">
        <v>14041011</v>
      </c>
      <c r="E32" s="2">
        <f>表9_151617182429303132[[#This Row],[Core Cyc'#/Frame]]*30/1000/1000</f>
        <v>405.01247999999998</v>
      </c>
      <c r="F32">
        <v>30</v>
      </c>
    </row>
    <row r="33" spans="1:6" x14ac:dyDescent="0.15">
      <c r="B33" t="s">
        <v>10</v>
      </c>
      <c r="C33">
        <v>14811136</v>
      </c>
      <c r="D33" s="2">
        <v>15375835</v>
      </c>
      <c r="E33" s="2">
        <f>表9_151617182429303132[[#This Row],[Core Cyc'#/Frame]]*30/1000/1000</f>
        <v>444.33408000000003</v>
      </c>
      <c r="F33">
        <v>38</v>
      </c>
    </row>
    <row r="34" spans="1:6" x14ac:dyDescent="0.15">
      <c r="B34" t="s">
        <v>9</v>
      </c>
      <c r="C34">
        <v>13598720</v>
      </c>
      <c r="D34" s="2">
        <v>14146571</v>
      </c>
      <c r="E34" s="2">
        <f>表9_151617182429303132[[#This Row],[Core Cyc'#/Frame]]*30/1000/1000</f>
        <v>407.96159999999998</v>
      </c>
      <c r="F34">
        <v>30</v>
      </c>
    </row>
    <row r="35" spans="1:6" x14ac:dyDescent="0.15">
      <c r="A35" s="3" t="s">
        <v>28</v>
      </c>
      <c r="B35" s="4"/>
      <c r="C35" s="4"/>
      <c r="D35" s="5"/>
      <c r="E35" s="6">
        <f>表9_151617182429303132[[#This Row],[Core Cyc'#/Frame]]*30/1000/1000</f>
        <v>0</v>
      </c>
      <c r="F35" s="4"/>
    </row>
    <row r="36" spans="1:6" x14ac:dyDescent="0.15">
      <c r="A36" t="s">
        <v>4</v>
      </c>
    </row>
    <row r="37" spans="1:6" x14ac:dyDescent="0.15">
      <c r="A37" s="1" t="s">
        <v>1</v>
      </c>
      <c r="B37" s="1" t="s">
        <v>2</v>
      </c>
      <c r="C37" s="1" t="s">
        <v>6</v>
      </c>
      <c r="D37" s="1" t="s">
        <v>7</v>
      </c>
      <c r="E37" s="1" t="s">
        <v>8</v>
      </c>
      <c r="F37" s="1" t="s">
        <v>5</v>
      </c>
    </row>
    <row r="38" spans="1:6" x14ac:dyDescent="0.15">
      <c r="A38" t="s">
        <v>3</v>
      </c>
      <c r="B38" t="s">
        <v>0</v>
      </c>
      <c r="C38">
        <v>12386304</v>
      </c>
      <c r="D38" s="2">
        <v>12944803</v>
      </c>
      <c r="E38" s="2">
        <f>表9_1516171824293031322[[#This Row],[Core Cyc'#/Frame]]*30/1000/1000</f>
        <v>371.58911999999998</v>
      </c>
      <c r="F38">
        <v>19</v>
      </c>
    </row>
    <row r="39" spans="1:6" x14ac:dyDescent="0.15">
      <c r="B39" t="s">
        <v>9</v>
      </c>
      <c r="C39">
        <v>13172736</v>
      </c>
      <c r="D39" s="2">
        <v>13723243</v>
      </c>
      <c r="E39" s="2">
        <f>表9_1516171824293031322[[#This Row],[Core Cyc'#/Frame]]*30/1000/1000</f>
        <v>395.18208000000004</v>
      </c>
      <c r="F39">
        <v>30</v>
      </c>
    </row>
    <row r="40" spans="1:6" x14ac:dyDescent="0.15">
      <c r="B40" t="s">
        <v>10</v>
      </c>
      <c r="C40">
        <v>13434880</v>
      </c>
      <c r="D40" s="2">
        <v>13974723</v>
      </c>
      <c r="E40" s="2">
        <f>表9_1516171824293031322[[#This Row],[Core Cyc'#/Frame]]*30/1000/1000</f>
        <v>403.04640000000001</v>
      </c>
      <c r="F40">
        <v>38</v>
      </c>
    </row>
    <row r="41" spans="1:6" x14ac:dyDescent="0.15">
      <c r="B41" t="s">
        <v>9</v>
      </c>
      <c r="C41">
        <v>13272040</v>
      </c>
      <c r="D41" s="2">
        <v>13820427</v>
      </c>
      <c r="E41" s="2">
        <f>表9_1516171824293031322[[#This Row],[Core Cyc'#/Frame]]*30/1000/1000</f>
        <v>398.16120000000001</v>
      </c>
      <c r="F41">
        <v>30</v>
      </c>
    </row>
    <row r="42" spans="1:6" x14ac:dyDescent="0.15">
      <c r="B42" t="s">
        <v>13</v>
      </c>
      <c r="C42">
        <v>13434880</v>
      </c>
      <c r="D42" s="2">
        <v>13994269</v>
      </c>
      <c r="E42" s="2">
        <f>表9_1516171824293031322[[#This Row],[Core Cyc'#/Frame]]*30/1000/1000</f>
        <v>403.04640000000001</v>
      </c>
      <c r="F42">
        <v>38</v>
      </c>
    </row>
    <row r="43" spans="1:6" x14ac:dyDescent="0.15">
      <c r="A43" s="3" t="s">
        <v>29</v>
      </c>
      <c r="B43" s="4"/>
      <c r="C43" s="4"/>
      <c r="D43" s="5"/>
      <c r="E43" s="6"/>
      <c r="F43" s="4"/>
    </row>
    <row r="44" spans="1:6" x14ac:dyDescent="0.15">
      <c r="A44" t="s">
        <v>4</v>
      </c>
    </row>
    <row r="45" spans="1:6" x14ac:dyDescent="0.15">
      <c r="A45" s="1" t="s">
        <v>1</v>
      </c>
      <c r="B45" s="1" t="s">
        <v>2</v>
      </c>
      <c r="C45" s="1" t="s">
        <v>6</v>
      </c>
      <c r="D45" s="1" t="s">
        <v>7</v>
      </c>
      <c r="E45" s="1" t="s">
        <v>8</v>
      </c>
      <c r="F45" s="1" t="s">
        <v>5</v>
      </c>
    </row>
    <row r="46" spans="1:6" x14ac:dyDescent="0.15">
      <c r="A46" t="s">
        <v>3</v>
      </c>
      <c r="B46" t="s">
        <v>0</v>
      </c>
      <c r="C46">
        <v>12386304</v>
      </c>
      <c r="D46" s="2">
        <v>12954520</v>
      </c>
      <c r="E46" s="2">
        <f>表9_151617182429303132216[[#This Row],[Core Cyc'#/Frame]]*30/1000/1000</f>
        <v>371.58911999999998</v>
      </c>
      <c r="F46">
        <v>19</v>
      </c>
    </row>
    <row r="47" spans="1:6" x14ac:dyDescent="0.15">
      <c r="B47" t="s">
        <v>9</v>
      </c>
      <c r="C47">
        <v>13238272</v>
      </c>
      <c r="D47" s="2">
        <v>13784769</v>
      </c>
      <c r="E47" s="2">
        <f>表9_151617182429303132216[[#This Row],[Core Cyc'#/Frame]]*30/1000/1000</f>
        <v>397.14815999999996</v>
      </c>
      <c r="F47">
        <v>30</v>
      </c>
    </row>
    <row r="48" spans="1:6" x14ac:dyDescent="0.15">
      <c r="B48" t="s">
        <v>10</v>
      </c>
      <c r="C48">
        <v>13860864</v>
      </c>
      <c r="D48" s="2">
        <v>14409733</v>
      </c>
      <c r="E48" s="2">
        <f>表9_151617182429303132216[[#This Row],[Core Cyc'#/Frame]]*30/1000/1000</f>
        <v>415.82592</v>
      </c>
      <c r="F48">
        <v>38</v>
      </c>
    </row>
    <row r="49" spans="1:6" x14ac:dyDescent="0.15">
      <c r="B49" t="s">
        <v>9</v>
      </c>
      <c r="C49">
        <v>13336576</v>
      </c>
      <c r="D49" s="2">
        <v>13895877</v>
      </c>
      <c r="E49" s="2">
        <f>表9_151617182429303132216[[#This Row],[Core Cyc'#/Frame]]*30/1000/1000</f>
        <v>400.09728000000001</v>
      </c>
      <c r="F49">
        <v>30</v>
      </c>
    </row>
    <row r="50" spans="1:6" x14ac:dyDescent="0.15">
      <c r="B50" t="s">
        <v>13</v>
      </c>
      <c r="C50">
        <v>13860864</v>
      </c>
      <c r="D50" s="2">
        <v>14429365</v>
      </c>
      <c r="E50" s="2">
        <f>表9_151617182429303132216[[#This Row],[Core Cyc'#/Frame]]*30/1000/1000</f>
        <v>415.82592</v>
      </c>
      <c r="F50">
        <v>38</v>
      </c>
    </row>
    <row r="51" spans="1:6" x14ac:dyDescent="0.15">
      <c r="D51" s="2"/>
      <c r="E51" s="2"/>
    </row>
    <row r="53" spans="1:6" x14ac:dyDescent="0.15">
      <c r="A53" s="7"/>
      <c r="B53" s="7"/>
      <c r="C53" s="7"/>
      <c r="D53" s="7"/>
      <c r="E53" s="7"/>
      <c r="F53" s="7"/>
    </row>
    <row r="54" spans="1:6" x14ac:dyDescent="0.15">
      <c r="A54" s="3" t="s">
        <v>30</v>
      </c>
      <c r="B54" s="4"/>
      <c r="C54" s="4"/>
      <c r="D54" s="5"/>
      <c r="E54" s="6"/>
      <c r="F54" s="4"/>
    </row>
    <row r="55" spans="1:6" x14ac:dyDescent="0.15">
      <c r="A55" t="s">
        <v>4</v>
      </c>
    </row>
    <row r="56" spans="1:6" x14ac:dyDescent="0.15">
      <c r="A56" s="1" t="s">
        <v>1</v>
      </c>
      <c r="B56" s="1" t="s">
        <v>2</v>
      </c>
      <c r="C56" s="1" t="s">
        <v>6</v>
      </c>
      <c r="D56" s="1" t="s">
        <v>7</v>
      </c>
      <c r="E56" s="1" t="s">
        <v>8</v>
      </c>
      <c r="F56" s="1" t="s">
        <v>5</v>
      </c>
    </row>
    <row r="57" spans="1:6" x14ac:dyDescent="0.15">
      <c r="A57" t="s">
        <v>3</v>
      </c>
      <c r="B57" t="s">
        <v>0</v>
      </c>
      <c r="C57">
        <v>25264128</v>
      </c>
      <c r="D57">
        <v>25809243</v>
      </c>
      <c r="E57" s="2">
        <f>表9_15161718242930313233343539[[#This Row],[Core Cyc'#/Frame]]*30/1000/1000</f>
        <v>757.92383999999993</v>
      </c>
      <c r="F57">
        <v>19</v>
      </c>
    </row>
    <row r="58" spans="1:6" x14ac:dyDescent="0.15">
      <c r="B58" t="s">
        <v>9</v>
      </c>
      <c r="C58">
        <v>36044800</v>
      </c>
      <c r="D58">
        <v>36587027</v>
      </c>
      <c r="E58" s="2">
        <f>表9_15161718242930313233343539[[#This Row],[Core Cyc'#/Frame]]*30/1000/1000</f>
        <v>1081.3440000000001</v>
      </c>
      <c r="F58">
        <v>30</v>
      </c>
    </row>
    <row r="59" spans="1:6" x14ac:dyDescent="0.15">
      <c r="A59" s="3" t="s">
        <v>31</v>
      </c>
      <c r="B59" s="4"/>
      <c r="C59" s="4"/>
      <c r="D59" s="5"/>
      <c r="E59" s="6">
        <f>表9_15161718242930313233343539[[#This Row],[Core Cyc'#/Frame]]*30/1000/1000</f>
        <v>0</v>
      </c>
      <c r="F59" s="4"/>
    </row>
    <row r="60" spans="1:6" x14ac:dyDescent="0.15">
      <c r="A60" t="s">
        <v>4</v>
      </c>
    </row>
    <row r="61" spans="1:6" x14ac:dyDescent="0.15">
      <c r="A61" s="1" t="s">
        <v>1</v>
      </c>
      <c r="B61" s="1" t="s">
        <v>2</v>
      </c>
      <c r="C61" s="1" t="s">
        <v>6</v>
      </c>
      <c r="D61" s="1" t="s">
        <v>7</v>
      </c>
      <c r="E61" s="1" t="s">
        <v>8</v>
      </c>
      <c r="F61" s="1" t="s">
        <v>5</v>
      </c>
    </row>
    <row r="62" spans="1:6" x14ac:dyDescent="0.15">
      <c r="A62" t="s">
        <v>3</v>
      </c>
      <c r="B62" t="s">
        <v>0</v>
      </c>
      <c r="C62">
        <v>16547840</v>
      </c>
      <c r="D62">
        <v>17109995</v>
      </c>
      <c r="E62" s="2">
        <f>表9_15161718242930313233[[#This Row],[Core Cyc'#/Frame]]*30/1000/1000</f>
        <v>496.43520000000001</v>
      </c>
      <c r="F62">
        <v>19</v>
      </c>
    </row>
    <row r="63" spans="1:6" x14ac:dyDescent="0.15">
      <c r="B63" t="s">
        <v>9</v>
      </c>
      <c r="C63">
        <v>23592960</v>
      </c>
      <c r="D63">
        <v>24141331</v>
      </c>
      <c r="E63" s="2">
        <f>表9_15161718242930313233[[#This Row],[Core Cyc'#/Frame]]*30/1000/1000</f>
        <v>707.78880000000004</v>
      </c>
      <c r="F63">
        <v>30</v>
      </c>
    </row>
    <row r="64" spans="1:6" x14ac:dyDescent="0.15">
      <c r="D64" s="2"/>
      <c r="E64" s="2"/>
    </row>
    <row r="65" spans="1:6" x14ac:dyDescent="0.15">
      <c r="A65" s="3" t="s">
        <v>32</v>
      </c>
      <c r="B65" s="4"/>
      <c r="C65" s="4"/>
      <c r="D65" s="5"/>
      <c r="E65" s="6"/>
      <c r="F65" s="4"/>
    </row>
    <row r="66" spans="1:6" x14ac:dyDescent="0.15">
      <c r="A66" t="s">
        <v>4</v>
      </c>
    </row>
    <row r="67" spans="1:6" x14ac:dyDescent="0.15">
      <c r="A67" s="1" t="s">
        <v>1</v>
      </c>
      <c r="B67" s="1" t="s">
        <v>2</v>
      </c>
      <c r="C67" s="1" t="s">
        <v>6</v>
      </c>
      <c r="D67" s="1" t="s">
        <v>7</v>
      </c>
      <c r="E67" s="1" t="s">
        <v>8</v>
      </c>
      <c r="F67" s="1" t="s">
        <v>5</v>
      </c>
    </row>
    <row r="68" spans="1:6" x14ac:dyDescent="0.15">
      <c r="A68" t="s">
        <v>3</v>
      </c>
      <c r="B68" t="s">
        <v>0</v>
      </c>
      <c r="C68">
        <v>12419072</v>
      </c>
      <c r="D68">
        <v>12971859</v>
      </c>
      <c r="E68" s="2">
        <f>表9_1516171824293031323334[[#This Row],[Core Cyc'#/Frame]]*30/1000/1000</f>
        <v>372.57216</v>
      </c>
      <c r="F68">
        <v>19</v>
      </c>
    </row>
    <row r="69" spans="1:6" x14ac:dyDescent="0.15">
      <c r="B69" t="s">
        <v>9</v>
      </c>
      <c r="C69">
        <v>16613376</v>
      </c>
      <c r="D69">
        <v>17152907</v>
      </c>
      <c r="E69" s="2">
        <f>表9_1516171824293031323334[[#This Row],[Core Cyc'#/Frame]]*30/1000/1000</f>
        <v>498.40128000000004</v>
      </c>
      <c r="F69">
        <v>30</v>
      </c>
    </row>
    <row r="70" spans="1:6" x14ac:dyDescent="0.15">
      <c r="B70" t="s">
        <v>10</v>
      </c>
      <c r="C70">
        <v>19660800</v>
      </c>
      <c r="D70">
        <v>20212403</v>
      </c>
      <c r="E70" s="2">
        <f>表9_1516171824293031323334[[#This Row],[Core Cyc'#/Frame]]*30/1000/1000</f>
        <v>589.82399999999996</v>
      </c>
      <c r="F70">
        <v>38</v>
      </c>
    </row>
    <row r="71" spans="1:6" x14ac:dyDescent="0.15">
      <c r="B71" t="s">
        <v>9</v>
      </c>
      <c r="C71">
        <v>16744448</v>
      </c>
      <c r="D71">
        <v>17307219</v>
      </c>
      <c r="E71" s="2">
        <f>表9_1516171824293031323334[[#This Row],[Core Cyc'#/Frame]]*30/1000/1000</f>
        <v>502.33344</v>
      </c>
      <c r="F71">
        <v>30</v>
      </c>
    </row>
    <row r="72" spans="1:6" x14ac:dyDescent="0.15">
      <c r="A72" s="3" t="s">
        <v>33</v>
      </c>
      <c r="B72" s="4"/>
      <c r="C72" s="4"/>
      <c r="D72" s="5"/>
      <c r="E72" s="6">
        <f>表9_1516171824293031323334[[#This Row],[Core Cyc'#/Frame]]*30/1000/1000</f>
        <v>0</v>
      </c>
      <c r="F72" s="4"/>
    </row>
    <row r="73" spans="1:6" x14ac:dyDescent="0.15">
      <c r="A73" t="s">
        <v>4</v>
      </c>
    </row>
    <row r="74" spans="1:6" x14ac:dyDescent="0.15">
      <c r="A74" s="1" t="s">
        <v>1</v>
      </c>
      <c r="B74" s="1" t="s">
        <v>2</v>
      </c>
      <c r="C74" s="1" t="s">
        <v>6</v>
      </c>
      <c r="D74" s="1" t="s">
        <v>7</v>
      </c>
      <c r="E74" s="1" t="s">
        <v>8</v>
      </c>
      <c r="F74" s="1" t="s">
        <v>5</v>
      </c>
    </row>
    <row r="75" spans="1:6" x14ac:dyDescent="0.15">
      <c r="A75" t="s">
        <v>3</v>
      </c>
      <c r="B75" t="s">
        <v>0</v>
      </c>
      <c r="C75">
        <v>12386304</v>
      </c>
      <c r="D75">
        <v>12953819</v>
      </c>
      <c r="E75" s="2">
        <f>表9_151617182429303132333435[[#This Row],[Core Cyc'#/Frame]]*30/1000/1000</f>
        <v>371.58911999999998</v>
      </c>
      <c r="F75">
        <v>19</v>
      </c>
    </row>
    <row r="76" spans="1:6" x14ac:dyDescent="0.15">
      <c r="B76" t="s">
        <v>9</v>
      </c>
      <c r="C76">
        <v>13991936</v>
      </c>
      <c r="D76">
        <v>14545027</v>
      </c>
      <c r="E76" s="2">
        <f>表9_151617182429303132333435[[#This Row],[Core Cyc'#/Frame]]*30/1000/1000</f>
        <v>419.75808000000001</v>
      </c>
      <c r="F76">
        <v>30</v>
      </c>
    </row>
    <row r="77" spans="1:6" x14ac:dyDescent="0.15">
      <c r="B77" t="s">
        <v>10</v>
      </c>
      <c r="C77">
        <v>15958016</v>
      </c>
      <c r="D77">
        <v>16502227</v>
      </c>
      <c r="E77" s="2">
        <f>表9_151617182429303132333435[[#This Row],[Core Cyc'#/Frame]]*30/1000/1000</f>
        <v>478.74047999999999</v>
      </c>
      <c r="F77">
        <v>38</v>
      </c>
    </row>
    <row r="78" spans="1:6" x14ac:dyDescent="0.15">
      <c r="B78" t="s">
        <v>9</v>
      </c>
      <c r="C78">
        <v>14123008</v>
      </c>
      <c r="D78">
        <v>14663251</v>
      </c>
      <c r="E78" s="2">
        <f>表9_151617182429303132333435[[#This Row],[Core Cyc'#/Frame]]*30/1000/1000</f>
        <v>423.69024000000002</v>
      </c>
      <c r="F78">
        <v>30</v>
      </c>
    </row>
    <row r="79" spans="1:6" x14ac:dyDescent="0.15">
      <c r="A79" s="3" t="s">
        <v>34</v>
      </c>
      <c r="B79" s="4"/>
      <c r="C79" s="4"/>
      <c r="D79" s="5"/>
      <c r="E79" s="6">
        <f>表9_151617182429303132333435[[#This Row],[Core Cyc'#/Frame]]*30/1000/1000</f>
        <v>0</v>
      </c>
      <c r="F79" s="4"/>
    </row>
    <row r="80" spans="1:6" x14ac:dyDescent="0.15">
      <c r="A80" t="s">
        <v>4</v>
      </c>
    </row>
    <row r="81" spans="1:6" x14ac:dyDescent="0.15">
      <c r="A81" s="1" t="s">
        <v>1</v>
      </c>
      <c r="B81" s="1" t="s">
        <v>2</v>
      </c>
      <c r="C81" s="1" t="s">
        <v>6</v>
      </c>
      <c r="D81" s="1" t="s">
        <v>7</v>
      </c>
      <c r="E81" s="1" t="s">
        <v>8</v>
      </c>
      <c r="F81" s="1" t="s">
        <v>5</v>
      </c>
    </row>
    <row r="82" spans="1:6" x14ac:dyDescent="0.15">
      <c r="A82" t="s">
        <v>3</v>
      </c>
      <c r="B82" t="s">
        <v>0</v>
      </c>
      <c r="C82">
        <v>12386304</v>
      </c>
      <c r="D82">
        <v>12944803</v>
      </c>
      <c r="E82" s="2">
        <f>表9_1516171824293031323334354[[#This Row],[Core Cyc'#/Frame]]*30/1000/1000</f>
        <v>371.58911999999998</v>
      </c>
      <c r="F82">
        <v>19</v>
      </c>
    </row>
    <row r="83" spans="1:6" x14ac:dyDescent="0.15">
      <c r="B83" t="s">
        <v>9</v>
      </c>
      <c r="C83">
        <v>13172736</v>
      </c>
      <c r="D83">
        <v>13732267</v>
      </c>
      <c r="E83" s="2">
        <f>表9_1516171824293031323334354[[#This Row],[Core Cyc'#/Frame]]*30/1000/1000</f>
        <v>395.18208000000004</v>
      </c>
      <c r="F83">
        <v>30</v>
      </c>
    </row>
    <row r="84" spans="1:6" x14ac:dyDescent="0.15">
      <c r="B84" t="s">
        <v>10</v>
      </c>
      <c r="C84">
        <v>13467648</v>
      </c>
      <c r="D84">
        <v>14022835</v>
      </c>
      <c r="E84" s="2">
        <f>表9_1516171824293031323334354[[#This Row],[Core Cyc'#/Frame]]*30/1000/1000</f>
        <v>404.02944000000002</v>
      </c>
      <c r="F84">
        <v>38</v>
      </c>
    </row>
    <row r="85" spans="1:6" x14ac:dyDescent="0.15">
      <c r="B85" t="s">
        <v>9</v>
      </c>
      <c r="C85">
        <v>13303808</v>
      </c>
      <c r="D85">
        <v>13840371</v>
      </c>
      <c r="E85" s="2">
        <f>表9_1516171824293031323334354[[#This Row],[Core Cyc'#/Frame]]*30/1000/1000</f>
        <v>399.11424</v>
      </c>
      <c r="F85">
        <v>30</v>
      </c>
    </row>
    <row r="86" spans="1:6" x14ac:dyDescent="0.15">
      <c r="B86" t="s">
        <v>13</v>
      </c>
      <c r="C86">
        <v>13500416</v>
      </c>
      <c r="D86">
        <v>14051397</v>
      </c>
      <c r="E86" s="2">
        <f>表9_1516171824293031323334354[[#This Row],[Core Cyc'#/Frame]]*30/1000/1000</f>
        <v>405.01247999999998</v>
      </c>
      <c r="F86">
        <v>38</v>
      </c>
    </row>
    <row r="87" spans="1:6" x14ac:dyDescent="0.15">
      <c r="A87" s="3" t="s">
        <v>35</v>
      </c>
      <c r="B87" s="4"/>
      <c r="C87" s="4"/>
      <c r="D87" s="5"/>
      <c r="E87" s="6"/>
      <c r="F87" s="4"/>
    </row>
    <row r="88" spans="1:6" x14ac:dyDescent="0.15">
      <c r="A88" t="s">
        <v>4</v>
      </c>
    </row>
    <row r="89" spans="1:6" x14ac:dyDescent="0.15">
      <c r="A89" s="1" t="s">
        <v>1</v>
      </c>
      <c r="B89" s="1" t="s">
        <v>2</v>
      </c>
      <c r="C89" s="1" t="s">
        <v>6</v>
      </c>
      <c r="D89" s="1" t="s">
        <v>7</v>
      </c>
      <c r="E89" s="1" t="s">
        <v>8</v>
      </c>
      <c r="F89" s="1" t="s">
        <v>5</v>
      </c>
    </row>
    <row r="90" spans="1:6" x14ac:dyDescent="0.15">
      <c r="A90" t="s">
        <v>3</v>
      </c>
      <c r="B90" t="s">
        <v>0</v>
      </c>
      <c r="C90">
        <v>12386304</v>
      </c>
      <c r="D90">
        <v>12954520</v>
      </c>
      <c r="E90" s="2">
        <f>表9_151617182429303132333435417[[#This Row],[Core Cyc'#/Frame]]*30/1000/1000</f>
        <v>371.58911999999998</v>
      </c>
      <c r="F90">
        <v>19</v>
      </c>
    </row>
    <row r="91" spans="1:6" x14ac:dyDescent="0.15">
      <c r="B91" t="s">
        <v>9</v>
      </c>
      <c r="C91">
        <v>13303808</v>
      </c>
      <c r="D91">
        <v>13876529</v>
      </c>
      <c r="E91" s="2">
        <f>表9_151617182429303132333435417[[#This Row],[Core Cyc'#/Frame]]*30/1000/1000</f>
        <v>399.11424</v>
      </c>
      <c r="F91">
        <v>30</v>
      </c>
    </row>
    <row r="92" spans="1:6" x14ac:dyDescent="0.15">
      <c r="B92" t="s">
        <v>10</v>
      </c>
      <c r="C92">
        <v>14155776</v>
      </c>
      <c r="D92">
        <v>14731845</v>
      </c>
      <c r="E92" s="2">
        <f>表9_151617182429303132333435417[[#This Row],[Core Cyc'#/Frame]]*30/1000/1000</f>
        <v>424.67328000000003</v>
      </c>
      <c r="F92">
        <v>38</v>
      </c>
    </row>
    <row r="93" spans="1:6" x14ac:dyDescent="0.15">
      <c r="B93" t="s">
        <v>9</v>
      </c>
      <c r="C93">
        <v>13434880</v>
      </c>
      <c r="D93">
        <v>14004085</v>
      </c>
      <c r="E93" s="2">
        <f>表9_151617182429303132333435417[[#This Row],[Core Cyc'#/Frame]]*30/1000/1000</f>
        <v>403.04640000000001</v>
      </c>
      <c r="F93">
        <v>30</v>
      </c>
    </row>
    <row r="94" spans="1:6" x14ac:dyDescent="0.15">
      <c r="B94" t="s">
        <v>13</v>
      </c>
      <c r="C94">
        <v>14188544</v>
      </c>
      <c r="D94">
        <v>14742301</v>
      </c>
      <c r="E94" s="2">
        <f>表9_151617182429303132333435417[[#This Row],[Core Cyc'#/Frame]]*30/1000/1000</f>
        <v>425.65631999999999</v>
      </c>
      <c r="F94">
        <v>38</v>
      </c>
    </row>
    <row r="95" spans="1:6" x14ac:dyDescent="0.15">
      <c r="E95" s="2"/>
    </row>
    <row r="96" spans="1:6" x14ac:dyDescent="0.15">
      <c r="A96" s="7"/>
      <c r="B96" s="7"/>
      <c r="C96" s="7"/>
      <c r="D96" s="7"/>
      <c r="E96" s="7"/>
      <c r="F96" s="7"/>
    </row>
    <row r="97" spans="1:6" x14ac:dyDescent="0.15">
      <c r="A97" s="3" t="s">
        <v>36</v>
      </c>
      <c r="B97" s="4"/>
      <c r="C97" s="4"/>
      <c r="D97" s="5"/>
      <c r="E97" s="6"/>
      <c r="F97" s="4"/>
    </row>
    <row r="98" spans="1:6" x14ac:dyDescent="0.15">
      <c r="A98" t="s">
        <v>4</v>
      </c>
    </row>
    <row r="99" spans="1:6" x14ac:dyDescent="0.15">
      <c r="A99" s="1" t="s">
        <v>1</v>
      </c>
      <c r="B99" s="1" t="s">
        <v>2</v>
      </c>
      <c r="C99" s="1" t="s">
        <v>6</v>
      </c>
      <c r="D99" s="1" t="s">
        <v>7</v>
      </c>
      <c r="E99" s="1" t="s">
        <v>8</v>
      </c>
      <c r="F99" s="1" t="s">
        <v>5</v>
      </c>
    </row>
    <row r="100" spans="1:6" x14ac:dyDescent="0.15">
      <c r="A100" t="s">
        <v>3</v>
      </c>
      <c r="B100" t="s">
        <v>0</v>
      </c>
      <c r="C100">
        <v>30539776</v>
      </c>
      <c r="D100">
        <v>31103979</v>
      </c>
      <c r="E100" s="2">
        <f>表9_15161718242930313233343540435[[#This Row],[Core Cyc'#/Frame]]*30/1000/1000</f>
        <v>916.19328000000007</v>
      </c>
      <c r="F100">
        <v>19</v>
      </c>
    </row>
    <row r="101" spans="1:6" x14ac:dyDescent="0.15">
      <c r="E101" s="2"/>
    </row>
    <row r="102" spans="1:6" x14ac:dyDescent="0.15">
      <c r="A102" s="3" t="s">
        <v>37</v>
      </c>
      <c r="B102" s="4"/>
      <c r="C102" s="4"/>
      <c r="D102" s="5"/>
      <c r="E102" s="6">
        <f>表9_15161718242930313233343540435[[#This Row],[Core Cyc'#/Frame]]*30/1000/1000</f>
        <v>0</v>
      </c>
      <c r="F102" s="4"/>
    </row>
    <row r="103" spans="1:6" x14ac:dyDescent="0.15">
      <c r="A103" t="s">
        <v>4</v>
      </c>
    </row>
    <row r="104" spans="1:6" x14ac:dyDescent="0.15">
      <c r="A104" s="1" t="s">
        <v>1</v>
      </c>
      <c r="B104" s="1" t="s">
        <v>2</v>
      </c>
      <c r="C104" s="1" t="s">
        <v>6</v>
      </c>
      <c r="D104" s="1" t="s">
        <v>7</v>
      </c>
      <c r="E104" s="1" t="s">
        <v>8</v>
      </c>
      <c r="F104" s="1" t="s">
        <v>5</v>
      </c>
    </row>
    <row r="105" spans="1:6" x14ac:dyDescent="0.15">
      <c r="A105" t="s">
        <v>3</v>
      </c>
      <c r="B105" t="s">
        <v>0</v>
      </c>
      <c r="C105">
        <v>20480000</v>
      </c>
      <c r="D105">
        <v>21027515</v>
      </c>
      <c r="E105" s="2">
        <f>表9_15161718242930313233343540[[#This Row],[Core Cyc'#/Frame]]*30/1000/1000</f>
        <v>614.4</v>
      </c>
      <c r="F105">
        <v>19</v>
      </c>
    </row>
    <row r="106" spans="1:6" x14ac:dyDescent="0.15">
      <c r="B106" t="s">
        <v>9</v>
      </c>
      <c r="C106">
        <v>29982720</v>
      </c>
      <c r="D106">
        <v>30547131</v>
      </c>
      <c r="E106" s="2">
        <f>表9_15161718242930313233343540[[#This Row],[Core Cyc'#/Frame]]*30/1000/1000</f>
        <v>899.48159999999996</v>
      </c>
      <c r="F106">
        <v>30</v>
      </c>
    </row>
    <row r="108" spans="1:6" x14ac:dyDescent="0.15">
      <c r="A108" s="3" t="s">
        <v>38</v>
      </c>
      <c r="B108" s="4"/>
      <c r="C108" s="4"/>
      <c r="D108" s="5"/>
      <c r="E108" s="6"/>
      <c r="F108" s="4"/>
    </row>
    <row r="109" spans="1:6" x14ac:dyDescent="0.15">
      <c r="A109" t="s">
        <v>4</v>
      </c>
    </row>
    <row r="110" spans="1:6" x14ac:dyDescent="0.15">
      <c r="A110" s="1" t="s">
        <v>1</v>
      </c>
      <c r="B110" s="1" t="s">
        <v>2</v>
      </c>
      <c r="C110" s="1" t="s">
        <v>6</v>
      </c>
      <c r="D110" s="1" t="s">
        <v>7</v>
      </c>
      <c r="E110" s="1" t="s">
        <v>8</v>
      </c>
      <c r="F110" s="1" t="s">
        <v>5</v>
      </c>
    </row>
    <row r="111" spans="1:6" x14ac:dyDescent="0.15">
      <c r="A111" t="s">
        <v>3</v>
      </c>
      <c r="B111" t="s">
        <v>0</v>
      </c>
      <c r="C111">
        <v>15335424</v>
      </c>
      <c r="D111">
        <v>15875051</v>
      </c>
      <c r="E111" s="2">
        <f>表9_1516171824293031323334354041[[#This Row],[Core Cyc'#/Frame]]*30/1000/1000</f>
        <v>460.06271999999996</v>
      </c>
      <c r="F111">
        <v>19</v>
      </c>
    </row>
    <row r="112" spans="1:6" x14ac:dyDescent="0.15">
      <c r="B112" t="s">
        <v>9</v>
      </c>
      <c r="C112">
        <v>22609920</v>
      </c>
      <c r="D112">
        <v>23149163</v>
      </c>
      <c r="E112" s="2">
        <f>表9_1516171824293031323334354041[[#This Row],[Core Cyc'#/Frame]]*30/1000/1000</f>
        <v>678.29759999999999</v>
      </c>
      <c r="F112">
        <v>30</v>
      </c>
    </row>
    <row r="113" spans="1:6" x14ac:dyDescent="0.15">
      <c r="B113" t="s">
        <v>11</v>
      </c>
      <c r="C113">
        <v>27885568</v>
      </c>
      <c r="D113">
        <v>28446771</v>
      </c>
      <c r="E113" s="2">
        <f>表9_1516171824293031323334354041[[#This Row],[Core Cyc'#/Frame]]*30/1000/1000</f>
        <v>836.56704000000002</v>
      </c>
      <c r="F113">
        <v>38</v>
      </c>
    </row>
    <row r="115" spans="1:6" x14ac:dyDescent="0.15">
      <c r="A115" s="3" t="s">
        <v>39</v>
      </c>
      <c r="B115" s="4"/>
      <c r="C115" s="4"/>
      <c r="D115" s="5"/>
      <c r="E115" s="6"/>
      <c r="F115" s="4"/>
    </row>
    <row r="116" spans="1:6" x14ac:dyDescent="0.15">
      <c r="A116" t="s">
        <v>4</v>
      </c>
    </row>
    <row r="117" spans="1:6" x14ac:dyDescent="0.15">
      <c r="A117" s="1" t="s">
        <v>1</v>
      </c>
      <c r="B117" s="1" t="s">
        <v>2</v>
      </c>
      <c r="C117" s="1" t="s">
        <v>6</v>
      </c>
      <c r="D117" s="1" t="s">
        <v>7</v>
      </c>
      <c r="E117" s="1" t="s">
        <v>8</v>
      </c>
      <c r="F117" s="1" t="s">
        <v>5</v>
      </c>
    </row>
    <row r="118" spans="1:6" x14ac:dyDescent="0.15">
      <c r="A118" t="s">
        <v>3</v>
      </c>
      <c r="B118" t="s">
        <v>0</v>
      </c>
      <c r="C118">
        <v>12386304</v>
      </c>
      <c r="D118">
        <v>12944803</v>
      </c>
      <c r="E118" s="2">
        <f>表9_151617182429303132333435404142[[#This Row],[Core Cyc'#/Frame]]*30/1000/1000</f>
        <v>371.58911999999998</v>
      </c>
      <c r="F118">
        <v>19</v>
      </c>
    </row>
    <row r="119" spans="1:6" x14ac:dyDescent="0.15">
      <c r="B119" t="s">
        <v>9</v>
      </c>
      <c r="C119">
        <v>13795328</v>
      </c>
      <c r="D119">
        <v>14355603</v>
      </c>
      <c r="E119" s="2">
        <f>表9_151617182429303132333435404142[[#This Row],[Core Cyc'#/Frame]]*30/1000/1000</f>
        <v>413.85984000000002</v>
      </c>
      <c r="F119">
        <v>30</v>
      </c>
    </row>
    <row r="120" spans="1:6" x14ac:dyDescent="0.15">
      <c r="B120" t="s">
        <v>11</v>
      </c>
      <c r="C120">
        <v>15630336</v>
      </c>
      <c r="D120">
        <v>16169595</v>
      </c>
      <c r="E120" s="2">
        <f>表9_151617182429303132333435404142[[#This Row],[Core Cyc'#/Frame]]*30/1000/1000</f>
        <v>468.91007999999999</v>
      </c>
      <c r="F120">
        <v>38</v>
      </c>
    </row>
    <row r="121" spans="1:6" x14ac:dyDescent="0.15">
      <c r="B121" t="s">
        <v>12</v>
      </c>
      <c r="C121">
        <v>13893632</v>
      </c>
      <c r="D121">
        <v>14463707</v>
      </c>
      <c r="E121" s="2">
        <f>表9_151617182429303132333435404142[[#This Row],[Core Cyc'#/Frame]]*30/1000/1000</f>
        <v>416.80896000000001</v>
      </c>
      <c r="F121">
        <v>30</v>
      </c>
    </row>
    <row r="122" spans="1:6" x14ac:dyDescent="0.15">
      <c r="A122" s="3" t="s">
        <v>40</v>
      </c>
      <c r="B122" s="4"/>
      <c r="C122" s="4"/>
      <c r="D122" s="5"/>
      <c r="E122" s="6">
        <f>表9_151617182429303132333435404142[[#This Row],[Core Cyc'#/Frame]]*30/1000/1000</f>
        <v>0</v>
      </c>
      <c r="F122" s="4"/>
    </row>
    <row r="123" spans="1:6" x14ac:dyDescent="0.15">
      <c r="A123" t="s">
        <v>4</v>
      </c>
    </row>
    <row r="124" spans="1:6" x14ac:dyDescent="0.15">
      <c r="A124" s="1" t="s">
        <v>1</v>
      </c>
      <c r="B124" s="1" t="s">
        <v>2</v>
      </c>
      <c r="C124" s="1" t="s">
        <v>6</v>
      </c>
      <c r="D124" s="1" t="s">
        <v>7</v>
      </c>
      <c r="E124" s="1" t="s">
        <v>8</v>
      </c>
      <c r="F124" s="1" t="s">
        <v>5</v>
      </c>
    </row>
    <row r="125" spans="1:6" x14ac:dyDescent="0.15">
      <c r="A125" t="s">
        <v>3</v>
      </c>
      <c r="B125" t="s">
        <v>0</v>
      </c>
      <c r="C125">
        <v>12386304</v>
      </c>
      <c r="D125">
        <v>12935779</v>
      </c>
      <c r="E125" s="2">
        <f>表9_1516171824293031323334354041426[[#This Row],[Core Cyc'#/Frame]]*30/1000/1000</f>
        <v>371.58911999999998</v>
      </c>
      <c r="F125">
        <v>19</v>
      </c>
    </row>
    <row r="126" spans="1:6" x14ac:dyDescent="0.15">
      <c r="B126" t="s">
        <v>9</v>
      </c>
      <c r="C126">
        <v>13205504</v>
      </c>
      <c r="D126">
        <v>13741283</v>
      </c>
      <c r="E126" s="2">
        <f>表9_1516171824293031323334354041426[[#This Row],[Core Cyc'#/Frame]]*30/1000/1000</f>
        <v>396.16512</v>
      </c>
      <c r="F126">
        <v>30</v>
      </c>
    </row>
    <row r="127" spans="1:6" x14ac:dyDescent="0.15">
      <c r="B127" t="s">
        <v>10</v>
      </c>
      <c r="C127">
        <v>13434880</v>
      </c>
      <c r="D127">
        <v>13983747</v>
      </c>
      <c r="E127" s="2">
        <f>表9_1516171824293031323334354041426[[#This Row],[Core Cyc'#/Frame]]*30/1000/1000</f>
        <v>403.04640000000001</v>
      </c>
      <c r="F127">
        <v>38</v>
      </c>
    </row>
    <row r="128" spans="1:6" x14ac:dyDescent="0.15">
      <c r="B128" t="s">
        <v>9</v>
      </c>
      <c r="C128">
        <v>13271040</v>
      </c>
      <c r="D128">
        <v>13829443</v>
      </c>
      <c r="E128" s="2">
        <f>表9_1516171824293031323334354041426[[#This Row],[Core Cyc'#/Frame]]*30/1000/1000</f>
        <v>398.13120000000004</v>
      </c>
      <c r="F128">
        <v>30</v>
      </c>
    </row>
    <row r="129" spans="1:6" x14ac:dyDescent="0.15">
      <c r="B129" t="s">
        <v>13</v>
      </c>
      <c r="C129">
        <v>13467648</v>
      </c>
      <c r="D129">
        <v>14006301</v>
      </c>
      <c r="E129" s="2">
        <f>表9_1516171824293031323334354041426[[#This Row],[Core Cyc'#/Frame]]*30/1000/1000</f>
        <v>404.02944000000002</v>
      </c>
      <c r="F129">
        <v>38</v>
      </c>
    </row>
    <row r="130" spans="1:6" x14ac:dyDescent="0.15">
      <c r="A130" s="3" t="s">
        <v>41</v>
      </c>
      <c r="B130" s="4"/>
      <c r="C130" s="4"/>
      <c r="D130" s="5"/>
      <c r="E130" s="6">
        <f>表9_1516171824293031323334354041426[[#This Row],[Core Cyc'#/Frame]]*30/1000/1000</f>
        <v>0</v>
      </c>
      <c r="F130" s="4"/>
    </row>
    <row r="131" spans="1:6" x14ac:dyDescent="0.15">
      <c r="A131" t="s">
        <v>4</v>
      </c>
    </row>
    <row r="132" spans="1:6" x14ac:dyDescent="0.15">
      <c r="A132" s="1" t="s">
        <v>1</v>
      </c>
      <c r="B132" s="1" t="s">
        <v>2</v>
      </c>
      <c r="C132" s="1" t="s">
        <v>6</v>
      </c>
      <c r="D132" s="1" t="s">
        <v>7</v>
      </c>
      <c r="E132" s="1" t="s">
        <v>8</v>
      </c>
      <c r="F132" s="1" t="s">
        <v>5</v>
      </c>
    </row>
    <row r="133" spans="1:6" x14ac:dyDescent="0.15">
      <c r="A133" t="s">
        <v>3</v>
      </c>
      <c r="B133" t="s">
        <v>0</v>
      </c>
      <c r="C133">
        <v>12386304</v>
      </c>
      <c r="D133">
        <v>12954520</v>
      </c>
      <c r="E133" s="2">
        <f>表9_151617182429303132333435404142618[[#This Row],[Core Cyc'#/Frame]]*30/1000/1000</f>
        <v>371.58911999999998</v>
      </c>
      <c r="F133">
        <v>19</v>
      </c>
    </row>
    <row r="134" spans="1:6" x14ac:dyDescent="0.15">
      <c r="B134" t="s">
        <v>9</v>
      </c>
      <c r="C134">
        <v>13271040</v>
      </c>
      <c r="D134">
        <v>13847097</v>
      </c>
      <c r="E134" s="2">
        <f>表9_151617182429303132333435404142618[[#This Row],[Core Cyc'#/Frame]]*30/1000/1000</f>
        <v>398.13120000000004</v>
      </c>
      <c r="F134">
        <v>30</v>
      </c>
    </row>
    <row r="135" spans="1:6" x14ac:dyDescent="0.15">
      <c r="B135" t="s">
        <v>10</v>
      </c>
      <c r="C135">
        <v>14057472</v>
      </c>
      <c r="D135">
        <v>14629957</v>
      </c>
      <c r="E135" s="2">
        <f>表9_151617182429303132333435404142618[[#This Row],[Core Cyc'#/Frame]]*30/1000/1000</f>
        <v>421.72415999999998</v>
      </c>
      <c r="F135">
        <v>38</v>
      </c>
    </row>
    <row r="136" spans="1:6" x14ac:dyDescent="0.15">
      <c r="B136" t="s">
        <v>9</v>
      </c>
      <c r="C136">
        <v>13402112</v>
      </c>
      <c r="D136">
        <v>13969285</v>
      </c>
      <c r="E136" s="2">
        <f>表9_151617182429303132333435404142618[[#This Row],[Core Cyc'#/Frame]]*30/1000/1000</f>
        <v>402.06335999999999</v>
      </c>
      <c r="F136">
        <v>30</v>
      </c>
    </row>
    <row r="137" spans="1:6" x14ac:dyDescent="0.15">
      <c r="B137" t="s">
        <v>13</v>
      </c>
      <c r="C137">
        <v>14090240</v>
      </c>
      <c r="D137">
        <v>14638509</v>
      </c>
      <c r="E137" s="2">
        <f>表9_151617182429303132333435404142618[[#This Row],[Core Cyc'#/Frame]]*30/1000/1000</f>
        <v>422.7072</v>
      </c>
      <c r="F137">
        <v>38</v>
      </c>
    </row>
    <row r="139" spans="1:6" x14ac:dyDescent="0.15">
      <c r="A139" s="95" t="s">
        <v>15</v>
      </c>
      <c r="B139" s="95"/>
      <c r="C139" s="95"/>
      <c r="D139" s="95"/>
      <c r="E139" s="95"/>
      <c r="F139" s="95"/>
    </row>
    <row r="140" spans="1:6" x14ac:dyDescent="0.15">
      <c r="A140" s="95"/>
      <c r="B140" s="95"/>
      <c r="C140" s="95"/>
      <c r="D140" s="95"/>
      <c r="E140" s="95"/>
      <c r="F140" s="95"/>
    </row>
    <row r="141" spans="1:6" x14ac:dyDescent="0.15">
      <c r="A141" s="3" t="s">
        <v>40</v>
      </c>
      <c r="B141" s="4"/>
      <c r="C141" s="4"/>
      <c r="D141" s="5"/>
      <c r="E141" s="6"/>
      <c r="F141" s="4"/>
    </row>
    <row r="142" spans="1:6" x14ac:dyDescent="0.15">
      <c r="A142" t="s">
        <v>14</v>
      </c>
    </row>
    <row r="143" spans="1:6" x14ac:dyDescent="0.15">
      <c r="A143" s="1" t="s">
        <v>1</v>
      </c>
      <c r="B143" s="1" t="s">
        <v>2</v>
      </c>
      <c r="C143" s="1" t="s">
        <v>6</v>
      </c>
      <c r="D143" s="1" t="s">
        <v>7</v>
      </c>
      <c r="E143" s="1" t="s">
        <v>8</v>
      </c>
      <c r="F143" s="1" t="s">
        <v>5</v>
      </c>
    </row>
    <row r="144" spans="1:6" x14ac:dyDescent="0.15">
      <c r="A144" t="s">
        <v>3</v>
      </c>
      <c r="B144" t="s">
        <v>0</v>
      </c>
      <c r="C144">
        <v>11763712</v>
      </c>
      <c r="D144">
        <v>12310572</v>
      </c>
      <c r="E144" s="2">
        <f>表9_15161718242930313233343540414267[[#This Row],[Core Cyc'#/Frame]]*30/1000/1000</f>
        <v>352.91136</v>
      </c>
      <c r="F144">
        <v>19</v>
      </c>
    </row>
    <row r="145" spans="1:6" x14ac:dyDescent="0.15">
      <c r="B145" t="s">
        <v>9</v>
      </c>
      <c r="C145">
        <v>11993088</v>
      </c>
      <c r="D145">
        <v>12522422</v>
      </c>
      <c r="E145" s="2">
        <f>表9_15161718242930313233343540414267[[#This Row],[Core Cyc'#/Frame]]*30/1000/1000</f>
        <v>359.79264000000001</v>
      </c>
      <c r="F145">
        <v>30</v>
      </c>
    </row>
    <row r="146" spans="1:6" x14ac:dyDescent="0.15">
      <c r="B146" t="s">
        <v>10</v>
      </c>
      <c r="C146">
        <v>12812288</v>
      </c>
      <c r="D146">
        <v>13364274</v>
      </c>
      <c r="E146" s="2">
        <f>表9_15161718242930313233343540414267[[#This Row],[Core Cyc'#/Frame]]*30/1000/1000</f>
        <v>384.36864000000003</v>
      </c>
      <c r="F146">
        <v>38</v>
      </c>
    </row>
    <row r="147" spans="1:6" x14ac:dyDescent="0.15">
      <c r="B147" t="s">
        <v>9</v>
      </c>
      <c r="C147">
        <v>12091392</v>
      </c>
      <c r="D147">
        <v>12621570</v>
      </c>
      <c r="E147" s="2">
        <f>表9_15161718242930313233343540414267[[#This Row],[Core Cyc'#/Frame]]*30/1000/1000</f>
        <v>362.74176</v>
      </c>
      <c r="F147">
        <v>30</v>
      </c>
    </row>
    <row r="148" spans="1:6" x14ac:dyDescent="0.15">
      <c r="B148" t="s">
        <v>13</v>
      </c>
      <c r="C148">
        <v>12812288</v>
      </c>
      <c r="D148">
        <v>13365628</v>
      </c>
      <c r="E148" s="2">
        <f>表9_15161718242930313233343540414267[[#This Row],[Core Cyc'#/Frame]]*30/1000/1000</f>
        <v>384.36864000000003</v>
      </c>
      <c r="F148">
        <v>39</v>
      </c>
    </row>
    <row r="149" spans="1:6" x14ac:dyDescent="0.15">
      <c r="A149" s="3" t="s">
        <v>40</v>
      </c>
      <c r="B149" s="4"/>
      <c r="C149" s="4"/>
      <c r="D149" s="5"/>
      <c r="E149" s="6">
        <f>表9_15161718242930313233343540414267[[#This Row],[Core Cyc'#/Frame]]*30/1000/1000</f>
        <v>0</v>
      </c>
      <c r="F149" s="4"/>
    </row>
    <row r="150" spans="1:6" x14ac:dyDescent="0.15">
      <c r="A150" t="s">
        <v>16</v>
      </c>
    </row>
    <row r="151" spans="1:6" x14ac:dyDescent="0.15">
      <c r="A151" s="1" t="s">
        <v>1</v>
      </c>
      <c r="B151" s="1" t="s">
        <v>2</v>
      </c>
      <c r="C151" s="1" t="s">
        <v>6</v>
      </c>
      <c r="D151" s="1" t="s">
        <v>7</v>
      </c>
      <c r="E151" s="1" t="s">
        <v>8</v>
      </c>
      <c r="F151" s="1" t="s">
        <v>5</v>
      </c>
    </row>
    <row r="152" spans="1:6" x14ac:dyDescent="0.15">
      <c r="A152" t="s">
        <v>3</v>
      </c>
      <c r="B152" t="s">
        <v>0</v>
      </c>
      <c r="C152">
        <v>12550144</v>
      </c>
      <c r="D152">
        <v>13095236</v>
      </c>
      <c r="E152" s="2">
        <f>表9_151617182429303132333435404142678[[#This Row],[Core Cyc'#/Frame]]*30/1000/1000</f>
        <v>376.50432000000001</v>
      </c>
      <c r="F152">
        <v>19</v>
      </c>
    </row>
    <row r="153" spans="1:6" x14ac:dyDescent="0.15">
      <c r="B153" t="s">
        <v>9</v>
      </c>
      <c r="C153">
        <v>13664256</v>
      </c>
      <c r="D153">
        <v>14194302</v>
      </c>
      <c r="E153" s="2">
        <f>表9_151617182429303132333435404142678[[#This Row],[Core Cyc'#/Frame]]*30/1000/1000</f>
        <v>409.92768000000001</v>
      </c>
      <c r="F153">
        <v>30</v>
      </c>
    </row>
    <row r="154" spans="1:6" x14ac:dyDescent="0.15">
      <c r="B154" t="s">
        <v>10</v>
      </c>
      <c r="C154">
        <v>13631488</v>
      </c>
      <c r="D154">
        <v>14167002</v>
      </c>
      <c r="E154" s="2">
        <f>表9_151617182429303132333435404142678[[#This Row],[Core Cyc'#/Frame]]*30/1000/1000</f>
        <v>408.94463999999999</v>
      </c>
      <c r="F154">
        <v>38</v>
      </c>
    </row>
    <row r="155" spans="1:6" x14ac:dyDescent="0.15">
      <c r="B155" t="s">
        <v>9</v>
      </c>
      <c r="C155">
        <v>13631488</v>
      </c>
      <c r="D155">
        <v>14167002</v>
      </c>
      <c r="E155" s="2">
        <f>表9_151617182429303132333435404142678[[#This Row],[Core Cyc'#/Frame]]*30/1000/1000</f>
        <v>408.94463999999999</v>
      </c>
      <c r="F155">
        <v>30</v>
      </c>
    </row>
    <row r="156" spans="1:6" x14ac:dyDescent="0.15">
      <c r="B156" t="s">
        <v>13</v>
      </c>
      <c r="C156">
        <v>13664256</v>
      </c>
      <c r="D156">
        <v>14195452</v>
      </c>
      <c r="E156" s="2">
        <f>表9_151617182429303132333435404142678[[#This Row],[Core Cyc'#/Frame]]*30/1000/1000</f>
        <v>409.92768000000001</v>
      </c>
      <c r="F156">
        <v>39</v>
      </c>
    </row>
    <row r="157" spans="1:6" x14ac:dyDescent="0.15">
      <c r="A157" s="3" t="s">
        <v>40</v>
      </c>
      <c r="B157" s="4"/>
      <c r="C157" s="4"/>
      <c r="D157" s="5"/>
      <c r="E157" s="6">
        <f>表9_151617182429303132333435404142678[[#This Row],[Core Cyc'#/Frame]]*30/1000/1000</f>
        <v>0</v>
      </c>
      <c r="F157" s="4"/>
    </row>
    <row r="158" spans="1:6" x14ac:dyDescent="0.15">
      <c r="A158" t="s">
        <v>17</v>
      </c>
    </row>
    <row r="159" spans="1:6" x14ac:dyDescent="0.15">
      <c r="A159" s="1" t="s">
        <v>1</v>
      </c>
      <c r="B159" s="1" t="s">
        <v>2</v>
      </c>
      <c r="C159" s="1" t="s">
        <v>6</v>
      </c>
      <c r="D159" s="1" t="s">
        <v>7</v>
      </c>
      <c r="E159" s="1" t="s">
        <v>8</v>
      </c>
      <c r="F159" s="1" t="s">
        <v>5</v>
      </c>
    </row>
    <row r="160" spans="1:6" x14ac:dyDescent="0.15">
      <c r="A160" t="s">
        <v>3</v>
      </c>
      <c r="B160" t="s">
        <v>0</v>
      </c>
      <c r="C160">
        <v>12943360</v>
      </c>
      <c r="D160">
        <v>13483132</v>
      </c>
      <c r="E160" s="2">
        <f>表9_1516171824293031323334354041426789[[#This Row],[Core Cyc'#/Frame]]*30/1000/1000</f>
        <v>388.30079999999998</v>
      </c>
      <c r="F160">
        <v>19</v>
      </c>
    </row>
    <row r="161" spans="1:6" x14ac:dyDescent="0.15">
      <c r="B161" t="s">
        <v>9</v>
      </c>
      <c r="C161">
        <v>13139968</v>
      </c>
      <c r="D161">
        <v>13695462</v>
      </c>
      <c r="E161" s="2">
        <f>表9_1516171824293031323334354041426789[[#This Row],[Core Cyc'#/Frame]]*30/1000/1000</f>
        <v>394.19903999999997</v>
      </c>
      <c r="F161">
        <v>30</v>
      </c>
    </row>
    <row r="162" spans="1:6" x14ac:dyDescent="0.15">
      <c r="B162" t="s">
        <v>10</v>
      </c>
      <c r="C162">
        <v>13238272</v>
      </c>
      <c r="D162">
        <v>13785578</v>
      </c>
      <c r="E162" s="2">
        <f>表9_1516171824293031323334354041426789[[#This Row],[Core Cyc'#/Frame]]*30/1000/1000</f>
        <v>397.14815999999996</v>
      </c>
      <c r="F162">
        <v>38</v>
      </c>
    </row>
    <row r="163" spans="1:6" x14ac:dyDescent="0.15">
      <c r="B163" t="s">
        <v>9</v>
      </c>
      <c r="C163">
        <v>13205504</v>
      </c>
      <c r="D163">
        <v>13740418</v>
      </c>
      <c r="E163" s="2">
        <f>表9_1516171824293031323334354041426789[[#This Row],[Core Cyc'#/Frame]]*30/1000/1000</f>
        <v>396.16512</v>
      </c>
      <c r="F163">
        <v>30</v>
      </c>
    </row>
    <row r="164" spans="1:6" x14ac:dyDescent="0.15">
      <c r="B164" t="s">
        <v>13</v>
      </c>
      <c r="C164">
        <v>13303808</v>
      </c>
      <c r="D164">
        <v>13832092</v>
      </c>
      <c r="E164" s="2">
        <f>表9_1516171824293031323334354041426789[[#This Row],[Core Cyc'#/Frame]]*30/1000/1000</f>
        <v>399.11424</v>
      </c>
      <c r="F164">
        <v>39</v>
      </c>
    </row>
    <row r="165" spans="1:6" x14ac:dyDescent="0.15">
      <c r="E165" s="2"/>
    </row>
    <row r="166" spans="1:6" x14ac:dyDescent="0.15">
      <c r="E166" s="2"/>
    </row>
    <row r="167" spans="1:6" x14ac:dyDescent="0.15">
      <c r="A167" s="3" t="s">
        <v>40</v>
      </c>
      <c r="B167" s="4"/>
      <c r="C167" s="4"/>
      <c r="D167" s="5"/>
      <c r="E167" s="6"/>
      <c r="F167" s="4"/>
    </row>
    <row r="168" spans="1:6" x14ac:dyDescent="0.15">
      <c r="A168" t="s">
        <v>18</v>
      </c>
    </row>
    <row r="169" spans="1:6" x14ac:dyDescent="0.15">
      <c r="A169" s="1" t="s">
        <v>1</v>
      </c>
      <c r="B169" s="1" t="s">
        <v>2</v>
      </c>
      <c r="C169" s="1" t="s">
        <v>6</v>
      </c>
      <c r="D169" s="1" t="s">
        <v>7</v>
      </c>
      <c r="E169" s="1" t="s">
        <v>8</v>
      </c>
      <c r="F169" s="1" t="s">
        <v>5</v>
      </c>
    </row>
    <row r="170" spans="1:6" x14ac:dyDescent="0.15">
      <c r="A170" t="s">
        <v>3</v>
      </c>
      <c r="B170" t="s">
        <v>0</v>
      </c>
      <c r="C170">
        <v>12386304</v>
      </c>
      <c r="D170">
        <v>12924748</v>
      </c>
      <c r="E170" s="2">
        <f>表9_151617182429303132333435404142678910[[#This Row],[Core Cyc'#/Frame]]*30/1000/1000</f>
        <v>371.58911999999998</v>
      </c>
      <c r="F170">
        <v>19</v>
      </c>
    </row>
    <row r="171" spans="1:6" x14ac:dyDescent="0.15">
      <c r="B171" t="s">
        <v>9</v>
      </c>
      <c r="C171">
        <v>13172736</v>
      </c>
      <c r="D171">
        <v>13722558</v>
      </c>
      <c r="E171" s="2">
        <f>表9_151617182429303132333435404142678910[[#This Row],[Core Cyc'#/Frame]]*30/1000/1000</f>
        <v>395.18208000000004</v>
      </c>
      <c r="F171">
        <v>30</v>
      </c>
    </row>
    <row r="172" spans="1:6" x14ac:dyDescent="0.15">
      <c r="B172" t="s">
        <v>10</v>
      </c>
      <c r="C172">
        <v>13402112</v>
      </c>
      <c r="D172">
        <v>13958146</v>
      </c>
      <c r="E172" s="2">
        <f>表9_151617182429303132333435404142678910[[#This Row],[Core Cyc'#/Frame]]*30/1000/1000</f>
        <v>402.06335999999999</v>
      </c>
      <c r="F172">
        <v>38</v>
      </c>
    </row>
    <row r="173" spans="1:6" x14ac:dyDescent="0.15">
      <c r="B173" t="s">
        <v>9</v>
      </c>
      <c r="C173">
        <v>13238272</v>
      </c>
      <c r="D173">
        <v>13776546</v>
      </c>
      <c r="E173" s="2">
        <f>表9_151617182429303132333435404142678910[[#This Row],[Core Cyc'#/Frame]]*30/1000/1000</f>
        <v>397.14815999999996</v>
      </c>
      <c r="F173">
        <v>30</v>
      </c>
    </row>
    <row r="174" spans="1:6" x14ac:dyDescent="0.15">
      <c r="B174" t="s">
        <v>13</v>
      </c>
      <c r="C174">
        <v>13434880</v>
      </c>
      <c r="D174">
        <v>13975644</v>
      </c>
      <c r="E174" s="2">
        <f>表9_151617182429303132333435404142678910[[#This Row],[Core Cyc'#/Frame]]*30/1000/1000</f>
        <v>403.04640000000001</v>
      </c>
      <c r="F174">
        <v>39</v>
      </c>
    </row>
    <row r="175" spans="1:6" x14ac:dyDescent="0.15">
      <c r="A175" s="3" t="s">
        <v>40</v>
      </c>
      <c r="B175" s="4"/>
      <c r="C175" s="4"/>
      <c r="D175" s="5"/>
      <c r="E175" s="6">
        <f>表9_151617182429303132333435404142678910[[#This Row],[Core Cyc'#/Frame]]*30/1000/1000</f>
        <v>0</v>
      </c>
      <c r="F175" s="4"/>
    </row>
    <row r="176" spans="1:6" x14ac:dyDescent="0.15">
      <c r="A176" t="s">
        <v>19</v>
      </c>
    </row>
    <row r="177" spans="1:6" x14ac:dyDescent="0.15">
      <c r="A177" s="1" t="s">
        <v>1</v>
      </c>
      <c r="B177" s="1" t="s">
        <v>2</v>
      </c>
      <c r="C177" s="1" t="s">
        <v>6</v>
      </c>
      <c r="D177" s="1" t="s">
        <v>7</v>
      </c>
      <c r="E177" s="1" t="s">
        <v>8</v>
      </c>
      <c r="F177" s="1" t="s">
        <v>5</v>
      </c>
    </row>
    <row r="178" spans="1:6" x14ac:dyDescent="0.15">
      <c r="A178" t="s">
        <v>3</v>
      </c>
      <c r="B178" t="s">
        <v>0</v>
      </c>
      <c r="C178">
        <v>11665408</v>
      </c>
      <c r="D178">
        <v>12210580</v>
      </c>
      <c r="E178" s="2">
        <f>表9_15161718242930313233343540414267891011[[#This Row],[Core Cyc'#/Frame]]*30/1000/1000</f>
        <v>349.96224000000001</v>
      </c>
      <c r="F178">
        <v>19</v>
      </c>
    </row>
    <row r="179" spans="1:6" x14ac:dyDescent="0.15">
      <c r="B179" t="s">
        <v>9</v>
      </c>
      <c r="C179">
        <v>12582912</v>
      </c>
      <c r="D179">
        <v>13136598</v>
      </c>
      <c r="E179" s="2">
        <f>表9_15161718242930313233343540414267891011[[#This Row],[Core Cyc'#/Frame]]*30/1000/1000</f>
        <v>377.48735999999997</v>
      </c>
      <c r="F179">
        <v>30</v>
      </c>
    </row>
    <row r="180" spans="1:6" x14ac:dyDescent="0.15">
      <c r="B180" t="s">
        <v>10</v>
      </c>
      <c r="C180">
        <v>13107200</v>
      </c>
      <c r="D180">
        <v>13653690</v>
      </c>
      <c r="E180" s="2">
        <f>表9_15161718242930313233343540414267891011[[#This Row],[Core Cyc'#/Frame]]*30/1000/1000</f>
        <v>393.21600000000001</v>
      </c>
      <c r="F180">
        <v>38</v>
      </c>
    </row>
    <row r="181" spans="1:6" x14ac:dyDescent="0.15">
      <c r="B181" t="s">
        <v>9</v>
      </c>
      <c r="C181">
        <v>12812288</v>
      </c>
      <c r="D181">
        <v>13355242</v>
      </c>
      <c r="E181" s="2">
        <f>表9_15161718242930313233343540414267891011[[#This Row],[Core Cyc'#/Frame]]*30/1000/1000</f>
        <v>384.36864000000003</v>
      </c>
      <c r="F181">
        <v>30</v>
      </c>
    </row>
    <row r="182" spans="1:6" x14ac:dyDescent="0.15">
      <c r="B182" t="s">
        <v>13</v>
      </c>
      <c r="C182">
        <v>13205504</v>
      </c>
      <c r="D182">
        <v>13759836</v>
      </c>
      <c r="E182" s="2">
        <f>表9_15161718242930313233343540414267891011[[#This Row],[Core Cyc'#/Frame]]*30/1000/1000</f>
        <v>396.16512</v>
      </c>
      <c r="F182">
        <v>39</v>
      </c>
    </row>
    <row r="184" spans="1:6" x14ac:dyDescent="0.15">
      <c r="A184" s="3" t="s">
        <v>40</v>
      </c>
      <c r="B184" s="4"/>
      <c r="C184" s="4"/>
      <c r="D184" s="5"/>
      <c r="E184" s="6"/>
      <c r="F184" s="4"/>
    </row>
    <row r="185" spans="1:6" x14ac:dyDescent="0.15">
      <c r="A185" t="s">
        <v>20</v>
      </c>
    </row>
    <row r="186" spans="1:6" x14ac:dyDescent="0.15">
      <c r="A186" s="1" t="s">
        <v>1</v>
      </c>
      <c r="B186" s="1" t="s">
        <v>2</v>
      </c>
      <c r="C186" s="1" t="s">
        <v>6</v>
      </c>
      <c r="D186" s="1" t="s">
        <v>7</v>
      </c>
      <c r="E186" s="1" t="s">
        <v>8</v>
      </c>
      <c r="F186" s="1" t="s">
        <v>5</v>
      </c>
    </row>
    <row r="187" spans="1:6" x14ac:dyDescent="0.15">
      <c r="A187" t="s">
        <v>3</v>
      </c>
      <c r="B187" t="s">
        <v>0</v>
      </c>
      <c r="C187">
        <v>10944512</v>
      </c>
      <c r="D187">
        <v>11497372</v>
      </c>
      <c r="E187" s="2">
        <f>表9_15161718242930313233343540414267891213[[#This Row],[Core Cyc'#/Frame]]*30/1000/1000</f>
        <v>328.33535999999998</v>
      </c>
      <c r="F187">
        <v>19</v>
      </c>
    </row>
    <row r="188" spans="1:6" x14ac:dyDescent="0.15">
      <c r="B188" t="s">
        <v>9</v>
      </c>
      <c r="C188">
        <v>11730944</v>
      </c>
      <c r="D188">
        <v>12270646</v>
      </c>
      <c r="E188" s="2">
        <f>表9_15161718242930313233343540414267891213[[#This Row],[Core Cyc'#/Frame]]*30/1000/1000</f>
        <v>351.92831999999999</v>
      </c>
      <c r="F188">
        <v>30</v>
      </c>
    </row>
    <row r="189" spans="1:6" x14ac:dyDescent="0.15">
      <c r="B189" t="s">
        <v>10</v>
      </c>
      <c r="C189">
        <v>12615680</v>
      </c>
      <c r="D189">
        <v>13143506</v>
      </c>
      <c r="E189" s="2">
        <f>表9_15161718242930313233343540414267891213[[#This Row],[Core Cyc'#/Frame]]*30/1000/1000</f>
        <v>378.47040000000004</v>
      </c>
      <c r="F189">
        <v>38</v>
      </c>
    </row>
    <row r="190" spans="1:6" x14ac:dyDescent="0.15">
      <c r="B190" t="s">
        <v>9</v>
      </c>
      <c r="C190">
        <v>11796480</v>
      </c>
      <c r="D190">
        <v>12338378</v>
      </c>
      <c r="E190" s="2">
        <f>表9_15161718242930313233343540414267891213[[#This Row],[Core Cyc'#/Frame]]*30/1000/1000</f>
        <v>353.89440000000002</v>
      </c>
      <c r="F190">
        <v>30</v>
      </c>
    </row>
    <row r="191" spans="1:6" x14ac:dyDescent="0.15">
      <c r="B191" t="s">
        <v>13</v>
      </c>
      <c r="C191">
        <v>12615680</v>
      </c>
      <c r="D191">
        <v>13153892</v>
      </c>
      <c r="E191" s="2">
        <f>表9_15161718242930313233343540414267891213[[#This Row],[Core Cyc'#/Frame]]*30/1000/1000</f>
        <v>378.47040000000004</v>
      </c>
      <c r="F191">
        <v>39</v>
      </c>
    </row>
    <row r="193" spans="1:6" x14ac:dyDescent="0.15">
      <c r="A193" s="3" t="s">
        <v>40</v>
      </c>
      <c r="B193" s="4"/>
      <c r="C193" s="4"/>
      <c r="D193" s="5"/>
      <c r="E193" s="6"/>
      <c r="F193" s="4"/>
    </row>
    <row r="194" spans="1:6" x14ac:dyDescent="0.15">
      <c r="A194" t="s">
        <v>21</v>
      </c>
    </row>
    <row r="195" spans="1:6" x14ac:dyDescent="0.15">
      <c r="A195" s="1" t="s">
        <v>1</v>
      </c>
      <c r="B195" s="1" t="s">
        <v>2</v>
      </c>
      <c r="C195" s="1" t="s">
        <v>6</v>
      </c>
      <c r="D195" s="1" t="s">
        <v>7</v>
      </c>
      <c r="E195" s="1" t="s">
        <v>8</v>
      </c>
      <c r="F195" s="1" t="s">
        <v>5</v>
      </c>
    </row>
    <row r="196" spans="1:6" x14ac:dyDescent="0.15">
      <c r="A196" t="s">
        <v>3</v>
      </c>
      <c r="B196" t="s">
        <v>0</v>
      </c>
      <c r="C196">
        <v>10944512</v>
      </c>
      <c r="D196">
        <v>11497372</v>
      </c>
      <c r="E196" s="2">
        <f>表9_1516171824293031323334354041426789121314[[#This Row],[Core Cyc'#/Frame]]*30/1000/1000</f>
        <v>328.33535999999998</v>
      </c>
      <c r="F196">
        <v>19</v>
      </c>
    </row>
    <row r="197" spans="1:6" x14ac:dyDescent="0.15">
      <c r="B197" t="s">
        <v>9</v>
      </c>
      <c r="C197">
        <v>11730944</v>
      </c>
      <c r="D197">
        <v>12270646</v>
      </c>
      <c r="E197" s="2">
        <f>表9_1516171824293031323334354041426789121314[[#This Row],[Core Cyc'#/Frame]]*30/1000/1000</f>
        <v>351.92831999999999</v>
      </c>
      <c r="F197">
        <v>30</v>
      </c>
    </row>
    <row r="198" spans="1:6" x14ac:dyDescent="0.15">
      <c r="B198" t="s">
        <v>10</v>
      </c>
      <c r="C198">
        <v>12615680</v>
      </c>
      <c r="D198">
        <v>13152538</v>
      </c>
      <c r="E198" s="2">
        <f>表9_1516171824293031323334354041426789121314[[#This Row],[Core Cyc'#/Frame]]*30/1000/1000</f>
        <v>378.47040000000004</v>
      </c>
      <c r="F198">
        <v>38</v>
      </c>
    </row>
    <row r="199" spans="1:6" x14ac:dyDescent="0.15">
      <c r="B199" t="s">
        <v>9</v>
      </c>
      <c r="C199">
        <v>11796480</v>
      </c>
      <c r="D199">
        <v>12329346</v>
      </c>
      <c r="E199" s="2">
        <f>表9_1516171824293031323334354041426789121314[[#This Row],[Core Cyc'#/Frame]]*30/1000/1000</f>
        <v>353.89440000000002</v>
      </c>
      <c r="F199">
        <v>30</v>
      </c>
    </row>
    <row r="200" spans="1:6" x14ac:dyDescent="0.15">
      <c r="B200" t="s">
        <v>13</v>
      </c>
      <c r="C200">
        <v>12582912</v>
      </c>
      <c r="D200">
        <v>13137748</v>
      </c>
      <c r="E200" s="2">
        <f>表9_1516171824293031323334354041426789121314[[#This Row],[Core Cyc'#/Frame]]*30/1000/1000</f>
        <v>377.48735999999997</v>
      </c>
      <c r="F200">
        <v>39</v>
      </c>
    </row>
    <row r="201" spans="1:6" x14ac:dyDescent="0.15">
      <c r="A201" s="3" t="s">
        <v>40</v>
      </c>
      <c r="B201" s="4"/>
      <c r="C201" s="4"/>
      <c r="D201" s="5"/>
      <c r="E201" s="6">
        <f>表9_1516171824293031323334354041426789121314[[#This Row],[Core Cyc'#/Frame]]*30/1000/1000</f>
        <v>0</v>
      </c>
      <c r="F201" s="4"/>
    </row>
    <row r="202" spans="1:6" x14ac:dyDescent="0.15">
      <c r="A202" t="s">
        <v>22</v>
      </c>
      <c r="D202" s="2"/>
      <c r="E202" s="2">
        <f>表9_1516171824293031323334354041426789121314[[#This Row],[Core Cyc'#/Frame]]*30/1000/1000</f>
        <v>0</v>
      </c>
    </row>
    <row r="203" spans="1:6" x14ac:dyDescent="0.15">
      <c r="A203" s="1" t="s">
        <v>1</v>
      </c>
      <c r="B203" s="1" t="s">
        <v>2</v>
      </c>
      <c r="C203" s="1" t="s">
        <v>6</v>
      </c>
      <c r="D203" s="1" t="s">
        <v>7</v>
      </c>
      <c r="E203" s="1" t="s">
        <v>8</v>
      </c>
      <c r="F203" s="1" t="s">
        <v>5</v>
      </c>
    </row>
    <row r="204" spans="1:6" x14ac:dyDescent="0.15">
      <c r="A204" t="s">
        <v>3</v>
      </c>
      <c r="B204" t="s">
        <v>0</v>
      </c>
      <c r="C204">
        <v>12386304</v>
      </c>
      <c r="D204">
        <v>12933780</v>
      </c>
      <c r="E204" s="2">
        <f>表9_151617182429303132333435404142678912131415[[#This Row],[Core Cyc'#/Frame]]*30/1000/1000</f>
        <v>371.58911999999998</v>
      </c>
      <c r="F204">
        <v>19</v>
      </c>
    </row>
    <row r="205" spans="1:6" x14ac:dyDescent="0.15">
      <c r="B205" t="s">
        <v>9</v>
      </c>
      <c r="C205">
        <v>11632640</v>
      </c>
      <c r="D205">
        <v>12186798</v>
      </c>
      <c r="E205" s="2">
        <f>表9_151617182429303132333435404142678912131415[[#This Row],[Core Cyc'#/Frame]]*30/1000/1000</f>
        <v>348.97919999999999</v>
      </c>
      <c r="F205">
        <v>30</v>
      </c>
    </row>
    <row r="206" spans="1:6" x14ac:dyDescent="0.15">
      <c r="B206" t="s">
        <v>10</v>
      </c>
      <c r="C206">
        <v>12189696</v>
      </c>
      <c r="D206">
        <v>12722042</v>
      </c>
      <c r="E206" s="2">
        <f>表9_151617182429303132333435404142678912131415[[#This Row],[Core Cyc'#/Frame]]*30/1000/1000</f>
        <v>365.69087999999999</v>
      </c>
      <c r="F206">
        <v>38</v>
      </c>
    </row>
    <row r="207" spans="1:6" x14ac:dyDescent="0.15">
      <c r="B207" t="s">
        <v>9</v>
      </c>
      <c r="C207">
        <v>11698176</v>
      </c>
      <c r="D207">
        <v>12225282</v>
      </c>
      <c r="E207" s="2">
        <f>表9_151617182429303132333435404142678912131415[[#This Row],[Core Cyc'#/Frame]]*30/1000/1000</f>
        <v>350.94528000000003</v>
      </c>
      <c r="F207">
        <v>30</v>
      </c>
    </row>
    <row r="208" spans="1:6" x14ac:dyDescent="0.15">
      <c r="B208" t="s">
        <v>13</v>
      </c>
      <c r="C208">
        <v>12222464</v>
      </c>
      <c r="D208">
        <v>12768556</v>
      </c>
      <c r="E208" s="2">
        <f>表9_151617182429303132333435404142678912131415[[#This Row],[Core Cyc'#/Frame]]*30/1000/1000</f>
        <v>366.67392000000001</v>
      </c>
      <c r="F208">
        <v>39</v>
      </c>
    </row>
  </sheetData>
  <mergeCells count="1">
    <mergeCell ref="A139:F140"/>
  </mergeCells>
  <phoneticPr fontId="2" type="noConversion"/>
  <pageMargins left="0.7" right="0.7" top="0.75" bottom="0.75" header="0.3" footer="0.3"/>
  <pageSetup paperSize="9" orientation="portrait" horizontalDpi="0" verticalDpi="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sqref="A1:XFD1048576"/>
    </sheetView>
  </sheetViews>
  <sheetFormatPr defaultRowHeight="13.5" x14ac:dyDescent="0.15"/>
  <cols>
    <col min="1" max="1" width="30.875" customWidth="1"/>
    <col min="2" max="2" width="11.625" bestFit="1" customWidth="1"/>
    <col min="3" max="3" width="21.5" style="24" customWidth="1"/>
    <col min="4" max="4" width="20.25" style="24" bestFit="1" customWidth="1"/>
    <col min="5" max="5" width="36" style="24" customWidth="1"/>
    <col min="6" max="6" width="11.625" style="24" bestFit="1" customWidth="1"/>
    <col min="7" max="7" width="2" style="30" customWidth="1"/>
  </cols>
  <sheetData>
    <row r="1" spans="1:7" ht="29.25" customHeight="1" x14ac:dyDescent="0.15">
      <c r="A1" s="96" t="s">
        <v>90</v>
      </c>
      <c r="B1" s="96"/>
      <c r="C1" s="96"/>
      <c r="D1" s="96"/>
      <c r="E1" s="96"/>
      <c r="F1" s="96"/>
      <c r="G1" s="31"/>
    </row>
    <row r="2" spans="1:7" x14ac:dyDescent="0.15">
      <c r="A2" s="1" t="s">
        <v>23</v>
      </c>
      <c r="G2" s="31"/>
    </row>
    <row r="3" spans="1:7" x14ac:dyDescent="0.15">
      <c r="A3" t="s">
        <v>4</v>
      </c>
      <c r="G3" s="31"/>
    </row>
    <row r="4" spans="1:7" x14ac:dyDescent="0.15">
      <c r="A4" s="1" t="s">
        <v>1</v>
      </c>
      <c r="B4" s="1" t="s">
        <v>2</v>
      </c>
      <c r="C4" s="25" t="s">
        <v>6</v>
      </c>
      <c r="D4" s="25" t="s">
        <v>7</v>
      </c>
      <c r="E4" s="25" t="s">
        <v>89</v>
      </c>
      <c r="F4" s="25" t="s">
        <v>5</v>
      </c>
      <c r="G4" s="31"/>
    </row>
    <row r="5" spans="1:7" x14ac:dyDescent="0.15">
      <c r="A5" t="s">
        <v>3</v>
      </c>
      <c r="B5" t="s">
        <v>0</v>
      </c>
      <c r="C5" s="24">
        <v>17924096</v>
      </c>
      <c r="D5" s="27"/>
      <c r="E5" s="27">
        <f>表9_15161718243[[#This Row],[Core Cyc'#/Frame]]*30/1000/1000</f>
        <v>537.72288000000003</v>
      </c>
      <c r="F5" s="24">
        <v>19</v>
      </c>
      <c r="G5" s="31"/>
    </row>
    <row r="6" spans="1:7" x14ac:dyDescent="0.15">
      <c r="B6" t="s">
        <v>9</v>
      </c>
      <c r="C6" s="24">
        <v>23560192</v>
      </c>
      <c r="D6" s="27"/>
      <c r="E6" s="27">
        <f>表9_15161718243[[#This Row],[Core Cyc'#/Frame]]*30/1000/1000</f>
        <v>706.80575999999996</v>
      </c>
      <c r="F6" s="24">
        <v>30</v>
      </c>
      <c r="G6" s="31"/>
    </row>
    <row r="7" spans="1:7" x14ac:dyDescent="0.15">
      <c r="D7" s="27"/>
      <c r="E7" s="27"/>
      <c r="G7" s="31"/>
    </row>
    <row r="8" spans="1:7" x14ac:dyDescent="0.15">
      <c r="A8" s="1" t="s">
        <v>24</v>
      </c>
      <c r="D8" s="27"/>
      <c r="E8" s="27"/>
      <c r="G8" s="31"/>
    </row>
    <row r="9" spans="1:7" x14ac:dyDescent="0.15">
      <c r="A9" t="s">
        <v>4</v>
      </c>
      <c r="G9" s="31"/>
    </row>
    <row r="10" spans="1:7" x14ac:dyDescent="0.15">
      <c r="A10" s="1" t="s">
        <v>1</v>
      </c>
      <c r="B10" s="1" t="s">
        <v>2</v>
      </c>
      <c r="C10" s="25" t="s">
        <v>6</v>
      </c>
      <c r="D10" s="25" t="s">
        <v>7</v>
      </c>
      <c r="E10" s="25" t="s">
        <v>8</v>
      </c>
      <c r="F10" s="25" t="s">
        <v>5</v>
      </c>
      <c r="G10" s="31"/>
    </row>
    <row r="11" spans="1:7" x14ac:dyDescent="0.15">
      <c r="A11" t="s">
        <v>3</v>
      </c>
      <c r="B11" t="s">
        <v>0</v>
      </c>
      <c r="C11" s="24">
        <v>14909440</v>
      </c>
      <c r="D11" s="27"/>
      <c r="E11" s="27">
        <f>表9_15161718242912[[#This Row],[Core Cyc'#/Frame]]*30/1000/1000</f>
        <v>447.28320000000002</v>
      </c>
      <c r="F11" s="24">
        <v>19</v>
      </c>
      <c r="G11" s="31"/>
    </row>
    <row r="12" spans="1:7" x14ac:dyDescent="0.15">
      <c r="B12" t="s">
        <v>9</v>
      </c>
      <c r="C12" s="24">
        <v>19988480</v>
      </c>
      <c r="D12" s="27"/>
      <c r="E12" s="27">
        <f>表9_15161718242912[[#This Row],[Core Cyc'#/Frame]]*30/1000/1000</f>
        <v>599.65440000000001</v>
      </c>
      <c r="F12" s="24">
        <v>29</v>
      </c>
      <c r="G12" s="31"/>
    </row>
    <row r="13" spans="1:7" x14ac:dyDescent="0.15">
      <c r="B13" t="s">
        <v>10</v>
      </c>
      <c r="C13" s="24">
        <v>24051712</v>
      </c>
      <c r="D13" s="27"/>
      <c r="E13" s="27">
        <f>表9_15161718242912[[#This Row],[Core Cyc'#/Frame]]*30/1000/1000</f>
        <v>721.55135999999993</v>
      </c>
      <c r="F13" s="24">
        <v>38</v>
      </c>
      <c r="G13" s="31"/>
    </row>
    <row r="14" spans="1:7" x14ac:dyDescent="0.15">
      <c r="D14" s="27"/>
      <c r="E14" s="27"/>
      <c r="G14" s="31"/>
    </row>
    <row r="15" spans="1:7" x14ac:dyDescent="0.15">
      <c r="A15" s="3" t="s">
        <v>25</v>
      </c>
      <c r="B15" s="4"/>
      <c r="C15" s="26"/>
      <c r="D15" s="29"/>
      <c r="E15" s="28"/>
      <c r="F15" s="26"/>
      <c r="G15" s="31"/>
    </row>
    <row r="16" spans="1:7" x14ac:dyDescent="0.15">
      <c r="A16" t="s">
        <v>4</v>
      </c>
      <c r="G16" s="31"/>
    </row>
    <row r="17" spans="1:7" x14ac:dyDescent="0.15">
      <c r="A17" s="1" t="s">
        <v>1</v>
      </c>
      <c r="B17" s="1" t="s">
        <v>2</v>
      </c>
      <c r="C17" s="25" t="s">
        <v>6</v>
      </c>
      <c r="D17" s="25" t="s">
        <v>7</v>
      </c>
      <c r="E17" s="25" t="s">
        <v>8</v>
      </c>
      <c r="F17" s="25" t="s">
        <v>5</v>
      </c>
      <c r="G17" s="31"/>
    </row>
    <row r="18" spans="1:7" x14ac:dyDescent="0.15">
      <c r="A18" t="s">
        <v>3</v>
      </c>
      <c r="B18" t="s">
        <v>0</v>
      </c>
      <c r="C18" s="24">
        <v>12419072</v>
      </c>
      <c r="D18" s="27"/>
      <c r="E18" s="27">
        <f>表9_1516171824293019[[#This Row],[Core Cyc'#/Frame]]*30/1000/1000</f>
        <v>372.57216</v>
      </c>
      <c r="F18" s="24">
        <v>19</v>
      </c>
      <c r="G18" s="31"/>
    </row>
    <row r="19" spans="1:7" x14ac:dyDescent="0.15">
      <c r="B19" t="s">
        <v>9</v>
      </c>
      <c r="C19" s="24">
        <v>15892480</v>
      </c>
      <c r="D19" s="27"/>
      <c r="E19" s="27">
        <f>表9_1516171824293019[[#This Row],[Core Cyc'#/Frame]]*30/1000/1000</f>
        <v>476.77440000000001</v>
      </c>
      <c r="F19" s="24">
        <v>30</v>
      </c>
      <c r="G19" s="31"/>
    </row>
    <row r="20" spans="1:7" x14ac:dyDescent="0.15">
      <c r="B20" t="s">
        <v>10</v>
      </c>
      <c r="C20" s="24">
        <v>18776064</v>
      </c>
      <c r="D20" s="27"/>
      <c r="E20" s="27">
        <f>表9_1516171824293019[[#This Row],[Core Cyc'#/Frame]]*30/1000/1000</f>
        <v>563.28192000000001</v>
      </c>
      <c r="F20" s="24">
        <v>38</v>
      </c>
      <c r="G20" s="31"/>
    </row>
    <row r="21" spans="1:7" x14ac:dyDescent="0.15">
      <c r="B21" t="s">
        <v>9</v>
      </c>
      <c r="C21" s="24">
        <v>16056302</v>
      </c>
      <c r="D21" s="27"/>
      <c r="E21" s="27">
        <f>表9_1516171824293019[[#This Row],[Core Cyc'#/Frame]]*30/1000/1000</f>
        <v>481.68905999999998</v>
      </c>
      <c r="F21" s="24">
        <v>30</v>
      </c>
      <c r="G21" s="31"/>
    </row>
    <row r="22" spans="1:7" x14ac:dyDescent="0.15">
      <c r="A22" s="3" t="s">
        <v>26</v>
      </c>
      <c r="B22" s="4"/>
      <c r="C22" s="26"/>
      <c r="D22" s="29"/>
      <c r="E22" s="28"/>
      <c r="F22" s="26"/>
      <c r="G22" s="31"/>
    </row>
    <row r="23" spans="1:7" x14ac:dyDescent="0.15">
      <c r="A23" t="s">
        <v>4</v>
      </c>
      <c r="G23" s="31"/>
    </row>
    <row r="24" spans="1:7" x14ac:dyDescent="0.15">
      <c r="A24" s="1" t="s">
        <v>1</v>
      </c>
      <c r="B24" s="1" t="s">
        <v>2</v>
      </c>
      <c r="C24" s="25" t="s">
        <v>6</v>
      </c>
      <c r="D24" s="25" t="s">
        <v>7</v>
      </c>
      <c r="E24" s="25" t="s">
        <v>8</v>
      </c>
      <c r="F24" s="25" t="s">
        <v>5</v>
      </c>
      <c r="G24" s="31"/>
    </row>
    <row r="25" spans="1:7" x14ac:dyDescent="0.15">
      <c r="A25" t="s">
        <v>3</v>
      </c>
      <c r="B25" t="s">
        <v>0</v>
      </c>
      <c r="C25" s="24">
        <v>12386304</v>
      </c>
      <c r="D25" s="27"/>
      <c r="E25" s="27">
        <f>表9_151617182429303120[[#This Row],[Core Cyc'#/Frame]]*30/1000/1000</f>
        <v>371.58911999999998</v>
      </c>
      <c r="F25" s="24">
        <v>19</v>
      </c>
      <c r="G25" s="31"/>
    </row>
    <row r="26" spans="1:7" x14ac:dyDescent="0.15">
      <c r="B26" t="s">
        <v>9</v>
      </c>
      <c r="C26" s="24">
        <v>13991936</v>
      </c>
      <c r="D26" s="27"/>
      <c r="E26" s="27">
        <f>表9_151617182429303120[[#This Row],[Core Cyc'#/Frame]]*30/1000/1000</f>
        <v>419.75808000000001</v>
      </c>
      <c r="F26" s="24">
        <v>30</v>
      </c>
      <c r="G26" s="31"/>
    </row>
    <row r="27" spans="1:7" x14ac:dyDescent="0.15">
      <c r="B27" t="s">
        <v>10</v>
      </c>
      <c r="C27" s="24">
        <v>15958016</v>
      </c>
      <c r="D27" s="27"/>
      <c r="E27" s="27">
        <f>表9_151617182429303120[[#This Row],[Core Cyc'#/Frame]]*30/1000/1000</f>
        <v>478.74047999999999</v>
      </c>
      <c r="F27" s="24">
        <v>38</v>
      </c>
      <c r="G27" s="31"/>
    </row>
    <row r="28" spans="1:7" x14ac:dyDescent="0.15">
      <c r="B28" t="s">
        <v>9</v>
      </c>
      <c r="C28" s="24">
        <v>14123008</v>
      </c>
      <c r="D28" s="27"/>
      <c r="E28" s="27">
        <f>表9_151617182429303120[[#This Row],[Core Cyc'#/Frame]]*30/1000/1000</f>
        <v>423.69024000000002</v>
      </c>
      <c r="F28" s="24">
        <v>30</v>
      </c>
      <c r="G28" s="31"/>
    </row>
    <row r="29" spans="1:7" x14ac:dyDescent="0.15">
      <c r="A29" s="3" t="s">
        <v>27</v>
      </c>
      <c r="B29" s="4"/>
      <c r="C29" s="26"/>
      <c r="D29" s="29"/>
      <c r="E29" s="28"/>
      <c r="F29" s="26"/>
      <c r="G29" s="31"/>
    </row>
    <row r="30" spans="1:7" x14ac:dyDescent="0.15">
      <c r="A30" t="s">
        <v>4</v>
      </c>
      <c r="G30" s="31"/>
    </row>
    <row r="31" spans="1:7" x14ac:dyDescent="0.15">
      <c r="A31" s="1" t="s">
        <v>1</v>
      </c>
      <c r="B31" s="1" t="s">
        <v>2</v>
      </c>
      <c r="C31" s="25" t="s">
        <v>6</v>
      </c>
      <c r="D31" s="25" t="s">
        <v>7</v>
      </c>
      <c r="E31" s="25" t="s">
        <v>8</v>
      </c>
      <c r="F31" s="25" t="s">
        <v>5</v>
      </c>
      <c r="G31" s="31"/>
    </row>
    <row r="32" spans="1:7" x14ac:dyDescent="0.15">
      <c r="A32" t="s">
        <v>3</v>
      </c>
      <c r="B32" t="s">
        <v>0</v>
      </c>
      <c r="C32" s="24">
        <v>12386304</v>
      </c>
      <c r="D32" s="27"/>
      <c r="E32" s="27">
        <f>表9_15161718242930313221[[#This Row],[Core Cyc'#/Frame]]*30/1000/1000</f>
        <v>371.58911999999998</v>
      </c>
      <c r="F32" s="24">
        <v>19</v>
      </c>
      <c r="G32" s="31"/>
    </row>
    <row r="33" spans="1:7" x14ac:dyDescent="0.15">
      <c r="B33" t="s">
        <v>9</v>
      </c>
      <c r="C33" s="24">
        <v>13336576</v>
      </c>
      <c r="D33" s="27"/>
      <c r="E33" s="27">
        <f>表9_15161718242930313221[[#This Row],[Core Cyc'#/Frame]]*30/1000/1000</f>
        <v>400.09728000000001</v>
      </c>
      <c r="F33" s="24">
        <v>30</v>
      </c>
      <c r="G33" s="31"/>
    </row>
    <row r="34" spans="1:7" x14ac:dyDescent="0.15">
      <c r="B34" t="s">
        <v>10</v>
      </c>
      <c r="C34" s="24">
        <v>14352384</v>
      </c>
      <c r="D34" s="27"/>
      <c r="E34" s="27">
        <f>表9_15161718242930313221[[#This Row],[Core Cyc'#/Frame]]*30/1000/1000</f>
        <v>430.57152000000002</v>
      </c>
      <c r="F34" s="24">
        <v>38</v>
      </c>
      <c r="G34" s="31"/>
    </row>
    <row r="35" spans="1:7" x14ac:dyDescent="0.15">
      <c r="B35" t="s">
        <v>9</v>
      </c>
      <c r="C35" s="24">
        <v>13434880</v>
      </c>
      <c r="D35" s="27"/>
      <c r="E35" s="27">
        <f>表9_15161718242930313221[[#This Row],[Core Cyc'#/Frame]]*30/1000/1000</f>
        <v>403.04640000000001</v>
      </c>
      <c r="F35" s="24">
        <v>30</v>
      </c>
      <c r="G35" s="31"/>
    </row>
    <row r="36" spans="1:7" x14ac:dyDescent="0.15">
      <c r="A36" s="3" t="s">
        <v>28</v>
      </c>
      <c r="B36" s="4"/>
      <c r="C36" s="26"/>
      <c r="D36" s="29"/>
      <c r="E36" s="28"/>
      <c r="F36" s="26"/>
      <c r="G36" s="31"/>
    </row>
    <row r="37" spans="1:7" x14ac:dyDescent="0.15">
      <c r="A37" t="s">
        <v>4</v>
      </c>
      <c r="G37" s="31"/>
    </row>
    <row r="38" spans="1:7" x14ac:dyDescent="0.15">
      <c r="A38" s="1" t="s">
        <v>1</v>
      </c>
      <c r="B38" s="1" t="s">
        <v>2</v>
      </c>
      <c r="C38" s="25" t="s">
        <v>6</v>
      </c>
      <c r="D38" s="25" t="s">
        <v>7</v>
      </c>
      <c r="E38" s="25" t="s">
        <v>8</v>
      </c>
      <c r="F38" s="25" t="s">
        <v>5</v>
      </c>
      <c r="G38" s="31"/>
    </row>
    <row r="39" spans="1:7" x14ac:dyDescent="0.15">
      <c r="A39" t="s">
        <v>3</v>
      </c>
      <c r="B39" t="s">
        <v>0</v>
      </c>
      <c r="C39" s="24">
        <v>12386304</v>
      </c>
      <c r="D39" s="27"/>
      <c r="E39" s="27">
        <f>表9_151617182429303132237[[#This Row],[Core Cyc'#/Frame]]*30/1000/1000</f>
        <v>371.58911999999998</v>
      </c>
      <c r="F39" s="24">
        <v>19</v>
      </c>
      <c r="G39" s="31"/>
    </row>
    <row r="40" spans="1:7" x14ac:dyDescent="0.15">
      <c r="B40" t="s">
        <v>9</v>
      </c>
      <c r="C40" s="24">
        <v>13139968</v>
      </c>
      <c r="D40" s="27"/>
      <c r="E40" s="27">
        <f>表9_151617182429303132237[[#This Row],[Core Cyc'#/Frame]]*30/1000/1000</f>
        <v>394.19903999999997</v>
      </c>
      <c r="F40" s="24">
        <v>30</v>
      </c>
      <c r="G40" s="31"/>
    </row>
    <row r="41" spans="1:7" x14ac:dyDescent="0.15">
      <c r="B41" t="s">
        <v>10</v>
      </c>
      <c r="C41" s="24">
        <v>13271040</v>
      </c>
      <c r="D41" s="27"/>
      <c r="E41" s="27">
        <f>表9_151617182429303132237[[#This Row],[Core Cyc'#/Frame]]*30/1000/1000</f>
        <v>398.13120000000004</v>
      </c>
      <c r="F41" s="24">
        <v>38</v>
      </c>
      <c r="G41" s="31"/>
    </row>
    <row r="42" spans="1:7" x14ac:dyDescent="0.15">
      <c r="B42" t="s">
        <v>9</v>
      </c>
      <c r="C42" s="24">
        <v>13238272</v>
      </c>
      <c r="D42" s="27"/>
      <c r="E42" s="27">
        <f>表9_151617182429303132237[[#This Row],[Core Cyc'#/Frame]]*30/1000/1000</f>
        <v>397.14815999999996</v>
      </c>
      <c r="F42" s="24">
        <v>30</v>
      </c>
      <c r="G42" s="31"/>
    </row>
    <row r="43" spans="1:7" x14ac:dyDescent="0.15">
      <c r="B43" t="s">
        <v>10</v>
      </c>
      <c r="C43" s="24">
        <v>13303808</v>
      </c>
      <c r="D43" s="27"/>
      <c r="E43" s="27">
        <f>表9_151617182429303132237[[#This Row],[Core Cyc'#/Frame]]*30/1000/1000</f>
        <v>399.11424</v>
      </c>
      <c r="F43" s="24">
        <v>38</v>
      </c>
      <c r="G43" s="31"/>
    </row>
    <row r="44" spans="1:7" x14ac:dyDescent="0.15">
      <c r="A44" s="3" t="s">
        <v>29</v>
      </c>
      <c r="B44" s="4"/>
      <c r="C44" s="26"/>
      <c r="D44" s="29"/>
      <c r="E44" s="28"/>
      <c r="F44" s="26"/>
      <c r="G44" s="31"/>
    </row>
    <row r="45" spans="1:7" x14ac:dyDescent="0.15">
      <c r="A45" t="s">
        <v>4</v>
      </c>
      <c r="G45" s="31"/>
    </row>
    <row r="46" spans="1:7" x14ac:dyDescent="0.15">
      <c r="A46" s="1" t="s">
        <v>1</v>
      </c>
      <c r="B46" s="1" t="s">
        <v>2</v>
      </c>
      <c r="C46" s="25" t="s">
        <v>6</v>
      </c>
      <c r="D46" s="25" t="s">
        <v>7</v>
      </c>
      <c r="E46" s="25" t="s">
        <v>8</v>
      </c>
      <c r="F46" s="25" t="s">
        <v>5</v>
      </c>
      <c r="G46" s="31"/>
    </row>
    <row r="47" spans="1:7" x14ac:dyDescent="0.15">
      <c r="A47" t="s">
        <v>3</v>
      </c>
      <c r="B47" t="s">
        <v>0</v>
      </c>
      <c r="C47" s="24">
        <v>12386304</v>
      </c>
      <c r="D47" s="27"/>
      <c r="E47" s="27">
        <f>表9_15161718242930313221653[[#This Row],[Core Cyc'#/Frame]]*30/1000/1000</f>
        <v>371.58911999999998</v>
      </c>
      <c r="F47" s="24">
        <v>19</v>
      </c>
      <c r="G47" s="31"/>
    </row>
    <row r="48" spans="1:7" x14ac:dyDescent="0.15">
      <c r="B48" t="s">
        <v>9</v>
      </c>
      <c r="C48" s="24">
        <v>13172736</v>
      </c>
      <c r="D48" s="27"/>
      <c r="E48" s="27">
        <f>表9_15161718242930313221653[[#This Row],[Core Cyc'#/Frame]]*30/1000/1000</f>
        <v>395.18208000000004</v>
      </c>
      <c r="F48" s="24">
        <v>30</v>
      </c>
      <c r="G48" s="31"/>
    </row>
    <row r="49" spans="1:7" x14ac:dyDescent="0.15">
      <c r="B49" t="s">
        <v>10</v>
      </c>
      <c r="C49" s="24">
        <v>13598720</v>
      </c>
      <c r="D49" s="27"/>
      <c r="E49" s="27">
        <f>表9_15161718242930313221653[[#This Row],[Core Cyc'#/Frame]]*30/1000/1000</f>
        <v>407.96159999999998</v>
      </c>
      <c r="F49" s="24">
        <v>38</v>
      </c>
      <c r="G49" s="31"/>
    </row>
    <row r="50" spans="1:7" x14ac:dyDescent="0.15">
      <c r="B50" t="s">
        <v>9</v>
      </c>
      <c r="C50" s="24">
        <v>13303808</v>
      </c>
      <c r="D50" s="27"/>
      <c r="E50" s="27">
        <f>表9_15161718242930313221653[[#This Row],[Core Cyc'#/Frame]]*30/1000/1000</f>
        <v>399.11424</v>
      </c>
      <c r="F50" s="24">
        <v>30</v>
      </c>
      <c r="G50" s="31"/>
    </row>
    <row r="51" spans="1:7" x14ac:dyDescent="0.15">
      <c r="B51" t="s">
        <v>10</v>
      </c>
      <c r="C51" s="24">
        <v>13598720</v>
      </c>
      <c r="D51" s="27"/>
      <c r="E51" s="27">
        <f>表9_15161718242930313221653[[#This Row],[Core Cyc'#/Frame]]*30/1000/1000</f>
        <v>407.96159999999998</v>
      </c>
      <c r="F51" s="24">
        <v>38</v>
      </c>
      <c r="G51" s="31"/>
    </row>
    <row r="52" spans="1:7" x14ac:dyDescent="0.15">
      <c r="D52" s="27"/>
      <c r="E52" s="27"/>
      <c r="G52" s="31"/>
    </row>
    <row r="53" spans="1:7" x14ac:dyDescent="0.15">
      <c r="G53" s="31"/>
    </row>
    <row r="54" spans="1:7" x14ac:dyDescent="0.15">
      <c r="A54" s="7"/>
      <c r="B54" s="7"/>
      <c r="C54" s="23"/>
      <c r="D54" s="23"/>
      <c r="E54" s="23"/>
      <c r="F54" s="23"/>
      <c r="G54" s="31"/>
    </row>
    <row r="55" spans="1:7" x14ac:dyDescent="0.15">
      <c r="A55" s="3" t="s">
        <v>30</v>
      </c>
      <c r="B55" s="4"/>
      <c r="C55" s="26"/>
      <c r="D55" s="29"/>
      <c r="E55" s="28"/>
      <c r="F55" s="26"/>
      <c r="G55" s="31"/>
    </row>
    <row r="56" spans="1:7" x14ac:dyDescent="0.15">
      <c r="A56" t="s">
        <v>4</v>
      </c>
      <c r="G56" s="31"/>
    </row>
    <row r="57" spans="1:7" x14ac:dyDescent="0.15">
      <c r="A57" s="1" t="s">
        <v>1</v>
      </c>
      <c r="B57" s="1" t="s">
        <v>2</v>
      </c>
      <c r="C57" s="25" t="s">
        <v>6</v>
      </c>
      <c r="D57" s="25" t="s">
        <v>7</v>
      </c>
      <c r="E57" s="25" t="s">
        <v>8</v>
      </c>
      <c r="F57" s="25" t="s">
        <v>5</v>
      </c>
      <c r="G57" s="31"/>
    </row>
    <row r="58" spans="1:7" x14ac:dyDescent="0.15">
      <c r="A58" t="s">
        <v>3</v>
      </c>
      <c r="B58" t="s">
        <v>0</v>
      </c>
      <c r="C58" s="24">
        <v>22151168</v>
      </c>
      <c r="E58" s="27">
        <f>表9_1516171824293031323334353926[[#This Row],[Core Cyc'#/Frame]]*30/1000/1000</f>
        <v>664.53503999999998</v>
      </c>
      <c r="F58" s="24">
        <v>19</v>
      </c>
      <c r="G58" s="31"/>
    </row>
    <row r="59" spans="1:7" x14ac:dyDescent="0.15">
      <c r="B59" t="s">
        <v>9</v>
      </c>
      <c r="C59" s="24">
        <v>27262976</v>
      </c>
      <c r="D59" s="27"/>
      <c r="E59" s="27">
        <f>表9_1516171824293031323334353926[[#This Row],[Core Cyc'#/Frame]]*30/1000/1000</f>
        <v>817.88927999999999</v>
      </c>
      <c r="G59" s="31"/>
    </row>
    <row r="60" spans="1:7" x14ac:dyDescent="0.15">
      <c r="B60" t="s">
        <v>10</v>
      </c>
      <c r="C60" s="24">
        <v>32342016</v>
      </c>
      <c r="E60" s="27">
        <f>表9_1516171824293031323334353926[[#This Row],[Core Cyc'#/Frame]]*30/1000/1000</f>
        <v>970.26048000000003</v>
      </c>
      <c r="F60" s="24">
        <v>30</v>
      </c>
      <c r="G60" s="31"/>
    </row>
    <row r="61" spans="1:7" x14ac:dyDescent="0.15">
      <c r="A61" s="3" t="s">
        <v>31</v>
      </c>
      <c r="B61" s="4"/>
      <c r="C61" s="26"/>
      <c r="D61" s="29"/>
      <c r="E61" s="28"/>
      <c r="F61" s="26"/>
      <c r="G61" s="31"/>
    </row>
    <row r="62" spans="1:7" x14ac:dyDescent="0.15">
      <c r="A62" t="s">
        <v>4</v>
      </c>
      <c r="G62" s="31"/>
    </row>
    <row r="63" spans="1:7" x14ac:dyDescent="0.15">
      <c r="A63" s="1" t="s">
        <v>1</v>
      </c>
      <c r="B63" s="1" t="s">
        <v>2</v>
      </c>
      <c r="C63" s="25" t="s">
        <v>6</v>
      </c>
      <c r="D63" s="25" t="s">
        <v>7</v>
      </c>
      <c r="E63" s="25" t="s">
        <v>8</v>
      </c>
      <c r="F63" s="25" t="s">
        <v>5</v>
      </c>
      <c r="G63" s="31"/>
    </row>
    <row r="64" spans="1:7" x14ac:dyDescent="0.15">
      <c r="A64" t="s">
        <v>3</v>
      </c>
      <c r="B64" t="s">
        <v>0</v>
      </c>
      <c r="C64" s="24">
        <v>14516224</v>
      </c>
      <c r="E64" s="27">
        <f>表9_1516171824293031323325[[#This Row],[Core Cyc'#/Frame]]*30/1000/1000</f>
        <v>435.48671999999999</v>
      </c>
      <c r="F64" s="24">
        <v>19</v>
      </c>
      <c r="G64" s="31"/>
    </row>
    <row r="65" spans="1:7" x14ac:dyDescent="0.15">
      <c r="B65" t="s">
        <v>9</v>
      </c>
      <c r="C65" s="24">
        <v>18644992</v>
      </c>
      <c r="E65" s="27">
        <f>表9_1516171824293031323325[[#This Row],[Core Cyc'#/Frame]]*30/1000/1000</f>
        <v>559.34976000000006</v>
      </c>
      <c r="F65" s="24">
        <v>30</v>
      </c>
      <c r="G65" s="31"/>
    </row>
    <row r="66" spans="1:7" x14ac:dyDescent="0.15">
      <c r="B66" t="s">
        <v>95</v>
      </c>
      <c r="C66" s="24">
        <v>21757952</v>
      </c>
      <c r="D66" s="27"/>
      <c r="E66" s="27">
        <f>表9_1516171824293031323325[[#This Row],[Core Cyc'#/Frame]]*30/1000/1000</f>
        <v>652.73856000000001</v>
      </c>
      <c r="G66" s="31"/>
    </row>
    <row r="67" spans="1:7" x14ac:dyDescent="0.15">
      <c r="B67" t="s">
        <v>96</v>
      </c>
      <c r="C67" s="24">
        <v>18776064</v>
      </c>
      <c r="D67" s="27"/>
      <c r="E67" s="27">
        <f>表9_1516171824293031323325[[#This Row],[Core Cyc'#/Frame]]*30/1000/1000</f>
        <v>563.28192000000001</v>
      </c>
      <c r="G67" s="31"/>
    </row>
    <row r="68" spans="1:7" x14ac:dyDescent="0.15">
      <c r="A68" s="3" t="s">
        <v>32</v>
      </c>
      <c r="B68" s="4"/>
      <c r="C68" s="26"/>
      <c r="D68" s="29"/>
      <c r="E68" s="28"/>
      <c r="F68" s="26"/>
      <c r="G68" s="31"/>
    </row>
    <row r="69" spans="1:7" x14ac:dyDescent="0.15">
      <c r="A69" t="s">
        <v>4</v>
      </c>
      <c r="G69" s="31"/>
    </row>
    <row r="70" spans="1:7" x14ac:dyDescent="0.15">
      <c r="A70" s="1" t="s">
        <v>1</v>
      </c>
      <c r="B70" s="1" t="s">
        <v>2</v>
      </c>
      <c r="C70" s="25" t="s">
        <v>6</v>
      </c>
      <c r="D70" s="25" t="s">
        <v>7</v>
      </c>
      <c r="E70" s="25" t="s">
        <v>8</v>
      </c>
      <c r="F70" s="25" t="s">
        <v>5</v>
      </c>
      <c r="G70" s="31"/>
    </row>
    <row r="71" spans="1:7" x14ac:dyDescent="0.15">
      <c r="A71" t="s">
        <v>3</v>
      </c>
      <c r="B71" t="s">
        <v>0</v>
      </c>
      <c r="C71" s="24">
        <v>12386304</v>
      </c>
      <c r="E71" s="27">
        <f>表9_151617182429303132333422[[#This Row],[Core Cyc'#/Frame]]*30/1000/1000</f>
        <v>371.58911999999998</v>
      </c>
      <c r="F71" s="24">
        <v>19</v>
      </c>
      <c r="G71" s="31"/>
    </row>
    <row r="72" spans="1:7" x14ac:dyDescent="0.15">
      <c r="B72" t="s">
        <v>9</v>
      </c>
      <c r="C72" s="24">
        <v>14221312</v>
      </c>
      <c r="E72" s="27">
        <f>表9_151617182429303132333422[[#This Row],[Core Cyc'#/Frame]]*30/1000/1000</f>
        <v>426.63936000000001</v>
      </c>
      <c r="F72" s="24">
        <v>30</v>
      </c>
      <c r="G72" s="31"/>
    </row>
    <row r="73" spans="1:7" x14ac:dyDescent="0.15">
      <c r="B73" t="s">
        <v>10</v>
      </c>
      <c r="C73" s="24">
        <v>16089088</v>
      </c>
      <c r="E73" s="27">
        <f>表9_151617182429303132333422[[#This Row],[Core Cyc'#/Frame]]*30/1000/1000</f>
        <v>482.67264</v>
      </c>
      <c r="F73" s="24">
        <v>38</v>
      </c>
      <c r="G73" s="31"/>
    </row>
    <row r="74" spans="1:7" x14ac:dyDescent="0.15">
      <c r="B74" t="s">
        <v>9</v>
      </c>
      <c r="C74" s="24">
        <v>14319616</v>
      </c>
      <c r="E74" s="27">
        <f>表9_151617182429303132333422[[#This Row],[Core Cyc'#/Frame]]*30/1000/1000</f>
        <v>429.58848</v>
      </c>
      <c r="F74" s="24">
        <v>30</v>
      </c>
      <c r="G74" s="31"/>
    </row>
    <row r="75" spans="1:7" x14ac:dyDescent="0.15">
      <c r="B75" t="s">
        <v>95</v>
      </c>
      <c r="C75" s="24">
        <v>16154624</v>
      </c>
      <c r="D75" s="27"/>
      <c r="E75" s="27">
        <f>表9_151617182429303132333422[[#This Row],[Core Cyc'#/Frame]]*30/1000/1000</f>
        <v>484.63871999999998</v>
      </c>
      <c r="G75" s="31"/>
    </row>
    <row r="76" spans="1:7" x14ac:dyDescent="0.15">
      <c r="B76" t="s">
        <v>97</v>
      </c>
      <c r="C76" s="24">
        <v>14352384</v>
      </c>
      <c r="D76" s="27"/>
      <c r="E76" s="27">
        <f>表9_151617182429303132333422[[#This Row],[Core Cyc'#/Frame]]*30/1000/1000</f>
        <v>430.57152000000002</v>
      </c>
      <c r="G76" s="31"/>
    </row>
    <row r="77" spans="1:7" x14ac:dyDescent="0.15">
      <c r="A77" s="3" t="s">
        <v>33</v>
      </c>
      <c r="B77" s="4"/>
      <c r="C77" s="26"/>
      <c r="D77" s="29"/>
      <c r="E77" s="28"/>
      <c r="F77" s="26"/>
      <c r="G77" s="31"/>
    </row>
    <row r="78" spans="1:7" x14ac:dyDescent="0.15">
      <c r="A78" t="s">
        <v>4</v>
      </c>
      <c r="G78" s="31"/>
    </row>
    <row r="79" spans="1:7" x14ac:dyDescent="0.15">
      <c r="A79" s="1" t="s">
        <v>1</v>
      </c>
      <c r="B79" s="1" t="s">
        <v>2</v>
      </c>
      <c r="C79" s="25" t="s">
        <v>6</v>
      </c>
      <c r="D79" s="25" t="s">
        <v>7</v>
      </c>
      <c r="E79" s="25" t="s">
        <v>8</v>
      </c>
      <c r="F79" s="25" t="s">
        <v>5</v>
      </c>
      <c r="G79" s="31"/>
    </row>
    <row r="80" spans="1:7" x14ac:dyDescent="0.15">
      <c r="A80" t="s">
        <v>3</v>
      </c>
      <c r="B80" t="s">
        <v>0</v>
      </c>
      <c r="C80" s="24">
        <v>12386304</v>
      </c>
      <c r="E80" s="27">
        <f>表9_15161718242930313233343523[[#This Row],[Core Cyc'#/Frame]]*30/1000/1000</f>
        <v>371.58911999999998</v>
      </c>
      <c r="F80" s="24">
        <v>19</v>
      </c>
      <c r="G80" s="31"/>
    </row>
    <row r="81" spans="1:7" x14ac:dyDescent="0.15">
      <c r="B81" t="s">
        <v>9</v>
      </c>
      <c r="C81" s="24">
        <v>13238272</v>
      </c>
      <c r="E81" s="27">
        <f>表9_15161718242930313233343523[[#This Row],[Core Cyc'#/Frame]]*30/1000/1000</f>
        <v>397.14815999999996</v>
      </c>
      <c r="F81" s="24">
        <v>30</v>
      </c>
      <c r="G81" s="31"/>
    </row>
    <row r="82" spans="1:7" x14ac:dyDescent="0.15">
      <c r="B82" t="s">
        <v>10</v>
      </c>
      <c r="C82" s="24">
        <v>13893632</v>
      </c>
      <c r="E82" s="27">
        <f>表9_15161718242930313233343523[[#This Row],[Core Cyc'#/Frame]]*30/1000/1000</f>
        <v>416.80896000000001</v>
      </c>
      <c r="F82" s="24">
        <v>38</v>
      </c>
      <c r="G82" s="31"/>
    </row>
    <row r="83" spans="1:7" x14ac:dyDescent="0.15">
      <c r="B83" t="s">
        <v>9</v>
      </c>
      <c r="C83" s="24">
        <v>13336576</v>
      </c>
      <c r="E83" s="27">
        <f>表9_15161718242930313233343523[[#This Row],[Core Cyc'#/Frame]]*30/1000/1000</f>
        <v>400.09728000000001</v>
      </c>
      <c r="F83" s="24">
        <v>30</v>
      </c>
      <c r="G83" s="31"/>
    </row>
    <row r="84" spans="1:7" x14ac:dyDescent="0.15">
      <c r="B84" t="s">
        <v>95</v>
      </c>
      <c r="C84" s="24">
        <v>13926400</v>
      </c>
      <c r="D84" s="27"/>
      <c r="E84" s="27">
        <f>表9_15161718242930313233343523[[#This Row],[Core Cyc'#/Frame]]*30/1000/1000</f>
        <v>417.79199999999997</v>
      </c>
      <c r="G84" s="31"/>
    </row>
    <row r="85" spans="1:7" x14ac:dyDescent="0.15">
      <c r="B85" t="s">
        <v>97</v>
      </c>
      <c r="C85" s="24">
        <v>13205504</v>
      </c>
      <c r="D85" s="27"/>
      <c r="E85" s="27">
        <f>表9_15161718242930313233343523[[#This Row],[Core Cyc'#/Frame]]*30/1000/1000</f>
        <v>396.16512</v>
      </c>
      <c r="G85" s="31"/>
    </row>
    <row r="86" spans="1:7" x14ac:dyDescent="0.15">
      <c r="A86" s="3" t="s">
        <v>34</v>
      </c>
      <c r="B86" s="4"/>
      <c r="C86" s="26"/>
      <c r="D86" s="29"/>
      <c r="E86" s="28"/>
      <c r="F86" s="26"/>
      <c r="G86" s="31"/>
    </row>
    <row r="87" spans="1:7" x14ac:dyDescent="0.15">
      <c r="A87" t="s">
        <v>4</v>
      </c>
      <c r="G87" s="31"/>
    </row>
    <row r="88" spans="1:7" x14ac:dyDescent="0.15">
      <c r="A88" s="1" t="s">
        <v>1</v>
      </c>
      <c r="B88" s="1" t="s">
        <v>2</v>
      </c>
      <c r="C88" s="25" t="s">
        <v>6</v>
      </c>
      <c r="D88" s="25" t="s">
        <v>7</v>
      </c>
      <c r="E88" s="25" t="s">
        <v>8</v>
      </c>
      <c r="F88" s="25" t="s">
        <v>5</v>
      </c>
      <c r="G88" s="31"/>
    </row>
    <row r="89" spans="1:7" x14ac:dyDescent="0.15">
      <c r="A89" t="s">
        <v>3</v>
      </c>
      <c r="B89" t="s">
        <v>0</v>
      </c>
      <c r="C89" s="24">
        <v>12386304</v>
      </c>
      <c r="E89" s="27">
        <f>表9_151617182429303132333435438[[#This Row],[Core Cyc'#/Frame]]*30/1000/1000</f>
        <v>371.58911999999998</v>
      </c>
      <c r="F89" s="24">
        <v>19</v>
      </c>
      <c r="G89" s="31"/>
    </row>
    <row r="90" spans="1:7" x14ac:dyDescent="0.15">
      <c r="B90" t="s">
        <v>9</v>
      </c>
      <c r="C90" s="24">
        <v>13139968</v>
      </c>
      <c r="E90" s="27">
        <f>表9_151617182429303132333435438[[#This Row],[Core Cyc'#/Frame]]*30/1000/1000</f>
        <v>394.19903999999997</v>
      </c>
      <c r="F90" s="24">
        <v>30</v>
      </c>
      <c r="G90" s="31"/>
    </row>
    <row r="91" spans="1:7" x14ac:dyDescent="0.15">
      <c r="B91" t="s">
        <v>10</v>
      </c>
      <c r="C91" s="24">
        <v>13139968</v>
      </c>
      <c r="E91" s="27">
        <f>表9_151617182429303132333435438[[#This Row],[Core Cyc'#/Frame]]*30/1000/1000</f>
        <v>394.19903999999997</v>
      </c>
      <c r="F91" s="24">
        <v>38</v>
      </c>
      <c r="G91" s="31"/>
    </row>
    <row r="92" spans="1:7" x14ac:dyDescent="0.15">
      <c r="B92" t="s">
        <v>9</v>
      </c>
      <c r="C92" s="24">
        <v>13205504</v>
      </c>
      <c r="E92" s="27">
        <f>表9_151617182429303132333435438[[#This Row],[Core Cyc'#/Frame]]*30/1000/1000</f>
        <v>396.16512</v>
      </c>
      <c r="F92" s="24">
        <v>30</v>
      </c>
      <c r="G92" s="31"/>
    </row>
    <row r="93" spans="1:7" x14ac:dyDescent="0.15">
      <c r="B93" t="s">
        <v>10</v>
      </c>
      <c r="C93" s="24">
        <v>13139968</v>
      </c>
      <c r="E93" s="27">
        <f>表9_151617182429303132333435438[[#This Row],[Core Cyc'#/Frame]]*30/1000/1000</f>
        <v>394.19903999999997</v>
      </c>
      <c r="F93" s="24">
        <v>38</v>
      </c>
      <c r="G93" s="31"/>
    </row>
    <row r="94" spans="1:7" x14ac:dyDescent="0.15">
      <c r="B94" t="s">
        <v>97</v>
      </c>
      <c r="C94" s="24">
        <v>13041664</v>
      </c>
      <c r="D94" s="27"/>
      <c r="E94" s="27">
        <f>表9_151617182429303132333435438[[#This Row],[Core Cyc'#/Frame]]*30/1000/1000</f>
        <v>391.24991999999997</v>
      </c>
      <c r="G94" s="31"/>
    </row>
    <row r="95" spans="1:7" x14ac:dyDescent="0.15">
      <c r="A95" s="3" t="s">
        <v>35</v>
      </c>
      <c r="B95" s="4"/>
      <c r="C95" s="26"/>
      <c r="D95" s="29"/>
      <c r="E95" s="28"/>
      <c r="F95" s="26"/>
      <c r="G95" s="31"/>
    </row>
    <row r="96" spans="1:7" x14ac:dyDescent="0.15">
      <c r="A96" t="s">
        <v>4</v>
      </c>
      <c r="G96" s="31"/>
    </row>
    <row r="97" spans="1:7" x14ac:dyDescent="0.15">
      <c r="A97" s="1" t="s">
        <v>1</v>
      </c>
      <c r="B97" s="1" t="s">
        <v>2</v>
      </c>
      <c r="C97" s="25" t="s">
        <v>6</v>
      </c>
      <c r="D97" s="25" t="s">
        <v>7</v>
      </c>
      <c r="E97" s="25" t="s">
        <v>8</v>
      </c>
      <c r="F97" s="25" t="s">
        <v>5</v>
      </c>
      <c r="G97" s="31"/>
    </row>
    <row r="98" spans="1:7" x14ac:dyDescent="0.15">
      <c r="A98" t="s">
        <v>3</v>
      </c>
      <c r="B98" t="s">
        <v>0</v>
      </c>
      <c r="C98" s="24">
        <v>12386304</v>
      </c>
      <c r="E98" s="27">
        <f>表9_15161718242930313233343541754[[#This Row],[Core Cyc'#/Frame]]*30/1000/1000</f>
        <v>371.58911999999998</v>
      </c>
      <c r="F98" s="24">
        <v>19</v>
      </c>
      <c r="G98" s="31"/>
    </row>
    <row r="99" spans="1:7" x14ac:dyDescent="0.15">
      <c r="B99" t="s">
        <v>9</v>
      </c>
      <c r="C99" s="24">
        <v>13172736</v>
      </c>
      <c r="E99" s="27">
        <f>表9_15161718242930313233343541754[[#This Row],[Core Cyc'#/Frame]]*30/1000/1000</f>
        <v>395.18208000000004</v>
      </c>
      <c r="F99" s="24">
        <v>30</v>
      </c>
      <c r="G99" s="31"/>
    </row>
    <row r="100" spans="1:7" x14ac:dyDescent="0.15">
      <c r="B100" t="s">
        <v>10</v>
      </c>
      <c r="C100" s="24">
        <v>13271040</v>
      </c>
      <c r="E100" s="27">
        <f>表9_15161718242930313233343541754[[#This Row],[Core Cyc'#/Frame]]*30/1000/1000</f>
        <v>398.13120000000004</v>
      </c>
      <c r="F100" s="24">
        <v>38</v>
      </c>
      <c r="G100" s="31"/>
    </row>
    <row r="101" spans="1:7" x14ac:dyDescent="0.15">
      <c r="B101" t="s">
        <v>9</v>
      </c>
      <c r="C101" s="24">
        <v>13238272</v>
      </c>
      <c r="E101" s="27">
        <f>表9_15161718242930313233343541754[[#This Row],[Core Cyc'#/Frame]]*30/1000/1000</f>
        <v>397.14815999999996</v>
      </c>
      <c r="F101" s="24">
        <v>30</v>
      </c>
      <c r="G101" s="31"/>
    </row>
    <row r="102" spans="1:7" x14ac:dyDescent="0.15">
      <c r="B102" t="s">
        <v>10</v>
      </c>
      <c r="C102" s="24">
        <v>13271040</v>
      </c>
      <c r="E102" s="27">
        <f>表9_15161718242930313233343541754[[#This Row],[Core Cyc'#/Frame]]*30/1000/1000</f>
        <v>398.13120000000004</v>
      </c>
      <c r="F102" s="24">
        <v>38</v>
      </c>
      <c r="G102" s="31"/>
    </row>
    <row r="103" spans="1:7" x14ac:dyDescent="0.15">
      <c r="B103" t="s">
        <v>97</v>
      </c>
      <c r="C103" s="24">
        <v>13074432</v>
      </c>
      <c r="D103" s="27"/>
      <c r="E103" s="27">
        <f>表9_15161718242930313233343541754[[#This Row],[Core Cyc'#/Frame]]*30/1000/1000</f>
        <v>392.23296000000005</v>
      </c>
      <c r="G103" s="31"/>
    </row>
    <row r="104" spans="1:7" x14ac:dyDescent="0.15">
      <c r="A104" s="7"/>
      <c r="B104" s="7"/>
      <c r="C104" s="23"/>
      <c r="D104" s="23"/>
      <c r="E104" s="23"/>
      <c r="F104" s="23"/>
      <c r="G104" s="31"/>
    </row>
    <row r="105" spans="1:7" x14ac:dyDescent="0.15">
      <c r="A105" s="3" t="s">
        <v>36</v>
      </c>
      <c r="B105" s="4"/>
      <c r="C105" s="26"/>
      <c r="D105" s="29"/>
      <c r="E105" s="28"/>
      <c r="F105" s="26"/>
      <c r="G105" s="31"/>
    </row>
    <row r="106" spans="1:7" x14ac:dyDescent="0.15">
      <c r="A106" t="s">
        <v>4</v>
      </c>
      <c r="G106" s="31"/>
    </row>
    <row r="107" spans="1:7" x14ac:dyDescent="0.15">
      <c r="A107" s="1" t="s">
        <v>1</v>
      </c>
      <c r="B107" s="1" t="s">
        <v>2</v>
      </c>
      <c r="C107" s="25" t="s">
        <v>6</v>
      </c>
      <c r="D107" s="25" t="s">
        <v>7</v>
      </c>
      <c r="E107" s="25" t="s">
        <v>8</v>
      </c>
      <c r="F107" s="25" t="s">
        <v>5</v>
      </c>
      <c r="G107" s="31"/>
    </row>
    <row r="108" spans="1:7" x14ac:dyDescent="0.15">
      <c r="A108" t="s">
        <v>3</v>
      </c>
      <c r="B108" t="s">
        <v>0</v>
      </c>
      <c r="C108" s="24">
        <v>28442624</v>
      </c>
      <c r="E108" s="27">
        <f>表9_1516171824293031323334354043543[[#This Row],[Core Cyc'#/Frame]]*30/1000/1000</f>
        <v>853.27872000000002</v>
      </c>
      <c r="F108" s="24">
        <v>19</v>
      </c>
      <c r="G108" s="31"/>
    </row>
    <row r="109" spans="1:7" x14ac:dyDescent="0.15">
      <c r="B109" t="s">
        <v>91</v>
      </c>
      <c r="C109" s="24">
        <v>35127296</v>
      </c>
      <c r="E109" s="27">
        <f>表9_1516171824293031323334354043543[[#This Row],[Core Cyc'#/Frame]]*30/1000/1000</f>
        <v>1053.8188799999998</v>
      </c>
      <c r="G109" s="31"/>
    </row>
    <row r="110" spans="1:7" x14ac:dyDescent="0.15">
      <c r="A110" s="3" t="s">
        <v>37</v>
      </c>
      <c r="B110" s="4"/>
      <c r="C110" s="26"/>
      <c r="D110" s="29"/>
      <c r="E110" s="28">
        <f>表9_1516171824293031323334354043543[[#This Row],[Core Cyc'#/Frame]]*30/1000/1000</f>
        <v>0</v>
      </c>
      <c r="F110" s="26"/>
      <c r="G110" s="31"/>
    </row>
    <row r="111" spans="1:7" x14ac:dyDescent="0.15">
      <c r="A111" t="s">
        <v>4</v>
      </c>
      <c r="G111" s="31"/>
    </row>
    <row r="112" spans="1:7" x14ac:dyDescent="0.15">
      <c r="A112" s="1" t="s">
        <v>1</v>
      </c>
      <c r="B112" s="1" t="s">
        <v>2</v>
      </c>
      <c r="C112" s="25" t="s">
        <v>6</v>
      </c>
      <c r="D112" s="25" t="s">
        <v>7</v>
      </c>
      <c r="E112" s="25" t="s">
        <v>8</v>
      </c>
      <c r="F112" s="25" t="s">
        <v>5</v>
      </c>
      <c r="G112" s="31"/>
    </row>
    <row r="113" spans="1:7" x14ac:dyDescent="0.15">
      <c r="A113" t="s">
        <v>3</v>
      </c>
      <c r="B113" t="s">
        <v>0</v>
      </c>
      <c r="C113" s="24">
        <v>19234816</v>
      </c>
      <c r="E113" s="27">
        <f>表9_1516171824293031323334354027[[#This Row],[Core Cyc'#/Frame]]*30/1000/1000</f>
        <v>577.04448000000002</v>
      </c>
      <c r="F113" s="24">
        <v>19</v>
      </c>
      <c r="G113" s="31"/>
    </row>
    <row r="114" spans="1:7" x14ac:dyDescent="0.15">
      <c r="B114" t="s">
        <v>9</v>
      </c>
      <c r="C114" s="24">
        <v>23920640</v>
      </c>
      <c r="E114" s="27">
        <f>表9_1516171824293031323334354027[[#This Row],[Core Cyc'#/Frame]]*30/1000/1000</f>
        <v>717.61919999999998</v>
      </c>
      <c r="F114" s="24">
        <v>30</v>
      </c>
      <c r="G114" s="31"/>
    </row>
    <row r="115" spans="1:7" x14ac:dyDescent="0.15">
      <c r="B115" t="s">
        <v>92</v>
      </c>
      <c r="C115" s="24">
        <v>28180480</v>
      </c>
      <c r="D115" s="27"/>
      <c r="E115" s="27">
        <f>表9_1516171824293031323334354027[[#This Row],[Core Cyc'#/Frame]]*30/1000/1000</f>
        <v>845.4144</v>
      </c>
      <c r="G115" s="31"/>
    </row>
    <row r="116" spans="1:7" x14ac:dyDescent="0.15">
      <c r="A116" s="3" t="s">
        <v>38</v>
      </c>
      <c r="B116" s="4"/>
      <c r="C116" s="26"/>
      <c r="D116" s="29"/>
      <c r="E116" s="28"/>
      <c r="F116" s="26"/>
      <c r="G116" s="31"/>
    </row>
    <row r="117" spans="1:7" x14ac:dyDescent="0.15">
      <c r="A117" t="s">
        <v>4</v>
      </c>
      <c r="G117" s="31"/>
    </row>
    <row r="118" spans="1:7" x14ac:dyDescent="0.15">
      <c r="A118" s="1" t="s">
        <v>1</v>
      </c>
      <c r="B118" s="1" t="s">
        <v>2</v>
      </c>
      <c r="C118" s="25" t="s">
        <v>6</v>
      </c>
      <c r="D118" s="25" t="s">
        <v>7</v>
      </c>
      <c r="E118" s="25" t="s">
        <v>8</v>
      </c>
      <c r="F118" s="25" t="s">
        <v>5</v>
      </c>
      <c r="G118" s="31"/>
    </row>
    <row r="119" spans="1:7" x14ac:dyDescent="0.15">
      <c r="A119" t="s">
        <v>3</v>
      </c>
      <c r="B119" t="s">
        <v>0</v>
      </c>
      <c r="C119" s="24">
        <v>14581760</v>
      </c>
      <c r="E119" s="27">
        <f>表9_151617182429303132333435404128[[#This Row],[Core Cyc'#/Frame]]*30/1000/1000</f>
        <v>437.45279999999997</v>
      </c>
      <c r="F119" s="24">
        <v>19</v>
      </c>
      <c r="G119" s="31"/>
    </row>
    <row r="120" spans="1:7" x14ac:dyDescent="0.15">
      <c r="B120" t="s">
        <v>9</v>
      </c>
      <c r="C120" s="24">
        <v>18644992</v>
      </c>
      <c r="E120" s="27">
        <f>表9_151617182429303132333435404128[[#This Row],[Core Cyc'#/Frame]]*30/1000/1000</f>
        <v>559.34976000000006</v>
      </c>
      <c r="F120" s="24">
        <v>30</v>
      </c>
      <c r="G120" s="31"/>
    </row>
    <row r="121" spans="1:7" x14ac:dyDescent="0.15">
      <c r="B121" t="s">
        <v>10</v>
      </c>
      <c r="C121" s="24">
        <v>21823448</v>
      </c>
      <c r="E121" s="27">
        <f>表9_151617182429303132333435404128[[#This Row],[Core Cyc'#/Frame]]*30/1000/1000</f>
        <v>654.70344</v>
      </c>
      <c r="F121" s="24">
        <v>38</v>
      </c>
      <c r="G121" s="31"/>
    </row>
    <row r="122" spans="1:7" x14ac:dyDescent="0.15">
      <c r="B122" t="s">
        <v>91</v>
      </c>
      <c r="C122" s="24">
        <v>18808832</v>
      </c>
      <c r="D122" s="27"/>
      <c r="E122" s="27">
        <f>表9_151617182429303132333435404128[[#This Row],[Core Cyc'#/Frame]]*30/1000/1000</f>
        <v>564.26495999999997</v>
      </c>
      <c r="G122" s="31"/>
    </row>
    <row r="123" spans="1:7" x14ac:dyDescent="0.15">
      <c r="A123" s="3" t="s">
        <v>39</v>
      </c>
      <c r="B123" s="4"/>
      <c r="C123" s="26"/>
      <c r="D123" s="29"/>
      <c r="E123" s="28"/>
      <c r="F123" s="26"/>
      <c r="G123" s="31"/>
    </row>
    <row r="124" spans="1:7" x14ac:dyDescent="0.15">
      <c r="A124" t="s">
        <v>4</v>
      </c>
      <c r="G124" s="31"/>
    </row>
    <row r="125" spans="1:7" x14ac:dyDescent="0.15">
      <c r="A125" s="1" t="s">
        <v>1</v>
      </c>
      <c r="B125" s="1" t="s">
        <v>2</v>
      </c>
      <c r="C125" s="25" t="s">
        <v>6</v>
      </c>
      <c r="D125" s="25" t="s">
        <v>7</v>
      </c>
      <c r="E125" s="25" t="s">
        <v>8</v>
      </c>
      <c r="F125" s="25" t="s">
        <v>5</v>
      </c>
      <c r="G125" s="31"/>
    </row>
    <row r="126" spans="1:7" x14ac:dyDescent="0.15">
      <c r="A126" t="s">
        <v>3</v>
      </c>
      <c r="B126" t="s">
        <v>0</v>
      </c>
      <c r="C126" s="24">
        <v>12386304</v>
      </c>
      <c r="E126" s="27">
        <f>表9_15161718242930313233343540414236[[#This Row],[Core Cyc'#/Frame]]*30/1000/1000</f>
        <v>371.58911999999998</v>
      </c>
      <c r="F126" s="24">
        <v>19</v>
      </c>
      <c r="G126" s="31"/>
    </row>
    <row r="127" spans="1:7" x14ac:dyDescent="0.15">
      <c r="B127" t="s">
        <v>9</v>
      </c>
      <c r="C127" s="24">
        <v>13238272</v>
      </c>
      <c r="E127" s="27">
        <f>表9_15161718242930313233343540414236[[#This Row],[Core Cyc'#/Frame]]*30/1000/1000</f>
        <v>397.14815999999996</v>
      </c>
      <c r="F127" s="24">
        <v>30</v>
      </c>
      <c r="G127" s="31"/>
    </row>
    <row r="128" spans="1:7" x14ac:dyDescent="0.15">
      <c r="B128" t="s">
        <v>10</v>
      </c>
      <c r="C128" s="24">
        <v>13991936</v>
      </c>
      <c r="E128" s="27">
        <f>表9_15161718242930313233343540414236[[#This Row],[Core Cyc'#/Frame]]*30/1000/1000</f>
        <v>419.75808000000001</v>
      </c>
      <c r="F128" s="24">
        <v>38</v>
      </c>
      <c r="G128" s="31"/>
    </row>
    <row r="129" spans="1:7" x14ac:dyDescent="0.15">
      <c r="B129" t="s">
        <v>9</v>
      </c>
      <c r="C129" s="24">
        <v>13369344</v>
      </c>
      <c r="E129" s="27">
        <f>表9_15161718242930313233343540414236[[#This Row],[Core Cyc'#/Frame]]*30/1000/1000</f>
        <v>401.08032000000003</v>
      </c>
      <c r="F129" s="24">
        <v>30</v>
      </c>
      <c r="G129" s="31"/>
    </row>
    <row r="130" spans="1:7" x14ac:dyDescent="0.15">
      <c r="A130" s="3" t="s">
        <v>40</v>
      </c>
      <c r="B130" s="4"/>
      <c r="C130" s="26"/>
      <c r="D130" s="29"/>
      <c r="E130" s="28">
        <f>表9_15161718242930313233343540414236[[#This Row],[Core Cyc'#/Frame]]*30/1000/1000</f>
        <v>0</v>
      </c>
      <c r="F130" s="26"/>
      <c r="G130" s="31"/>
    </row>
    <row r="131" spans="1:7" x14ac:dyDescent="0.15">
      <c r="A131" t="s">
        <v>4</v>
      </c>
      <c r="G131" s="31"/>
    </row>
    <row r="132" spans="1:7" x14ac:dyDescent="0.15">
      <c r="A132" s="1" t="s">
        <v>1</v>
      </c>
      <c r="B132" s="1" t="s">
        <v>2</v>
      </c>
      <c r="C132" s="25" t="s">
        <v>6</v>
      </c>
      <c r="D132" s="25" t="s">
        <v>7</v>
      </c>
      <c r="E132" s="25" t="s">
        <v>8</v>
      </c>
      <c r="F132" s="25" t="s">
        <v>5</v>
      </c>
      <c r="G132" s="31"/>
    </row>
    <row r="133" spans="1:7" x14ac:dyDescent="0.15">
      <c r="A133" t="s">
        <v>3</v>
      </c>
      <c r="B133" t="s">
        <v>0</v>
      </c>
      <c r="C133" s="24">
        <v>12386304</v>
      </c>
      <c r="E133" s="27">
        <f>表9_151617182429303132333435404142644[[#This Row],[Core Cyc'#/Frame]]*30/1000/1000</f>
        <v>371.58911999999998</v>
      </c>
      <c r="F133" s="24">
        <v>19</v>
      </c>
      <c r="G133" s="31"/>
    </row>
    <row r="134" spans="1:7" x14ac:dyDescent="0.15">
      <c r="B134" t="s">
        <v>9</v>
      </c>
      <c r="C134" s="24">
        <v>13139968</v>
      </c>
      <c r="E134" s="27">
        <f>表9_151617182429303132333435404142644[[#This Row],[Core Cyc'#/Frame]]*30/1000/1000</f>
        <v>394.19903999999997</v>
      </c>
      <c r="F134" s="24">
        <v>30</v>
      </c>
      <c r="G134" s="31"/>
    </row>
    <row r="135" spans="1:7" x14ac:dyDescent="0.15">
      <c r="B135" t="s">
        <v>10</v>
      </c>
      <c r="C135" s="24">
        <v>13139968</v>
      </c>
      <c r="E135" s="27">
        <f>表9_151617182429303132333435404142644[[#This Row],[Core Cyc'#/Frame]]*30/1000/1000</f>
        <v>394.19903999999997</v>
      </c>
      <c r="F135" s="24">
        <v>38</v>
      </c>
      <c r="G135" s="31"/>
    </row>
    <row r="136" spans="1:7" x14ac:dyDescent="0.15">
      <c r="B136" t="s">
        <v>9</v>
      </c>
      <c r="C136" s="24">
        <v>13205504</v>
      </c>
      <c r="E136" s="27">
        <f>表9_151617182429303132333435404142644[[#This Row],[Core Cyc'#/Frame]]*30/1000/1000</f>
        <v>396.16512</v>
      </c>
      <c r="F136" s="24">
        <v>30</v>
      </c>
      <c r="G136" s="31"/>
    </row>
    <row r="137" spans="1:7" x14ac:dyDescent="0.15">
      <c r="B137" t="s">
        <v>10</v>
      </c>
      <c r="C137" s="24">
        <v>13172739</v>
      </c>
      <c r="E137" s="27">
        <f>表9_151617182429303132333435404142644[[#This Row],[Core Cyc'#/Frame]]*30/1000/1000</f>
        <v>395.18216999999999</v>
      </c>
      <c r="F137" s="24">
        <v>38</v>
      </c>
      <c r="G137" s="31"/>
    </row>
    <row r="138" spans="1:7" x14ac:dyDescent="0.15">
      <c r="A138" s="3" t="s">
        <v>41</v>
      </c>
      <c r="B138" s="4"/>
      <c r="C138" s="26"/>
      <c r="D138" s="29"/>
      <c r="E138" s="28">
        <f>表9_151617182429303132333435404142644[[#This Row],[Core Cyc'#/Frame]]*30/1000/1000</f>
        <v>0</v>
      </c>
      <c r="F138" s="26"/>
      <c r="G138" s="31"/>
    </row>
    <row r="139" spans="1:7" x14ac:dyDescent="0.15">
      <c r="A139" t="s">
        <v>4</v>
      </c>
      <c r="G139" s="31"/>
    </row>
    <row r="140" spans="1:7" x14ac:dyDescent="0.15">
      <c r="A140" s="1" t="s">
        <v>1</v>
      </c>
      <c r="B140" s="1" t="s">
        <v>2</v>
      </c>
      <c r="C140" s="25" t="s">
        <v>6</v>
      </c>
      <c r="D140" s="25" t="s">
        <v>7</v>
      </c>
      <c r="E140" s="25" t="s">
        <v>8</v>
      </c>
      <c r="F140" s="25" t="s">
        <v>5</v>
      </c>
      <c r="G140" s="31"/>
    </row>
    <row r="141" spans="1:7" x14ac:dyDescent="0.15">
      <c r="A141" t="s">
        <v>3</v>
      </c>
      <c r="B141" t="s">
        <v>0</v>
      </c>
      <c r="C141" s="24">
        <v>12386304</v>
      </c>
      <c r="E141" s="27">
        <f>表9_15161718242930313233343540414261855[[#This Row],[Core Cyc'#/Frame]]*30/1000/1000</f>
        <v>371.58911999999998</v>
      </c>
      <c r="F141" s="24">
        <v>19</v>
      </c>
      <c r="G141" s="31"/>
    </row>
    <row r="142" spans="1:7" x14ac:dyDescent="0.15">
      <c r="B142" t="s">
        <v>9</v>
      </c>
      <c r="C142" s="24">
        <v>13172736</v>
      </c>
      <c r="E142" s="27">
        <f>表9_15161718242930313233343540414261855[[#This Row],[Core Cyc'#/Frame]]*30/1000/1000</f>
        <v>395.18208000000004</v>
      </c>
      <c r="F142" s="24">
        <v>30</v>
      </c>
      <c r="G142" s="31"/>
    </row>
    <row r="143" spans="1:7" x14ac:dyDescent="0.15">
      <c r="B143" t="s">
        <v>10</v>
      </c>
      <c r="C143" s="24">
        <v>13303808</v>
      </c>
      <c r="E143" s="27">
        <f>表9_15161718242930313233343540414261855[[#This Row],[Core Cyc'#/Frame]]*30/1000/1000</f>
        <v>399.11424</v>
      </c>
      <c r="F143" s="24">
        <v>38</v>
      </c>
      <c r="G143" s="31"/>
    </row>
    <row r="144" spans="1:7" x14ac:dyDescent="0.15">
      <c r="B144" t="s">
        <v>9</v>
      </c>
      <c r="C144" s="24">
        <v>13238272</v>
      </c>
      <c r="E144" s="27">
        <f>表9_15161718242930313233343540414261855[[#This Row],[Core Cyc'#/Frame]]*30/1000/1000</f>
        <v>397.14815999999996</v>
      </c>
      <c r="F144" s="24">
        <v>30</v>
      </c>
      <c r="G144" s="31"/>
    </row>
    <row r="145" spans="1:7" x14ac:dyDescent="0.15">
      <c r="B145" t="s">
        <v>10</v>
      </c>
      <c r="C145" s="24">
        <v>13303808</v>
      </c>
      <c r="E145" s="27">
        <f>表9_15161718242930313233343540414261855[[#This Row],[Core Cyc'#/Frame]]*30/1000/1000</f>
        <v>399.11424</v>
      </c>
      <c r="F145" s="24">
        <v>38</v>
      </c>
      <c r="G145" s="31"/>
    </row>
    <row r="146" spans="1:7" x14ac:dyDescent="0.15">
      <c r="A146" s="97"/>
      <c r="B146" s="97"/>
      <c r="C146" s="97"/>
      <c r="D146" s="97"/>
      <c r="E146" s="97"/>
      <c r="F146" s="97"/>
      <c r="G146" s="31"/>
    </row>
    <row r="147" spans="1:7" ht="49.5" customHeight="1" x14ac:dyDescent="0.15">
      <c r="A147" s="98" t="s">
        <v>94</v>
      </c>
      <c r="B147" s="98"/>
      <c r="C147" s="98"/>
      <c r="D147" s="98"/>
      <c r="E147" s="98"/>
      <c r="F147" s="98"/>
      <c r="G147" s="31"/>
    </row>
    <row r="148" spans="1:7" x14ac:dyDescent="0.15">
      <c r="A148" s="3" t="s">
        <v>83</v>
      </c>
      <c r="B148" s="4"/>
      <c r="C148" s="4"/>
      <c r="D148" s="5"/>
      <c r="E148" s="6"/>
      <c r="F148" s="4"/>
      <c r="G148" s="31"/>
    </row>
    <row r="149" spans="1:7" x14ac:dyDescent="0.15">
      <c r="A149" t="s">
        <v>4</v>
      </c>
      <c r="C149"/>
      <c r="D149"/>
      <c r="E149"/>
      <c r="F149"/>
      <c r="G149" s="31"/>
    </row>
    <row r="150" spans="1:7" x14ac:dyDescent="0.15">
      <c r="A150" s="1" t="s">
        <v>1</v>
      </c>
      <c r="B150" s="1" t="s">
        <v>2</v>
      </c>
      <c r="C150" s="1" t="s">
        <v>6</v>
      </c>
      <c r="D150" s="1" t="s">
        <v>7</v>
      </c>
      <c r="E150" s="1" t="s">
        <v>8</v>
      </c>
      <c r="F150" s="1" t="s">
        <v>5</v>
      </c>
      <c r="G150" s="31"/>
    </row>
    <row r="151" spans="1:7" x14ac:dyDescent="0.15">
      <c r="A151" t="s">
        <v>3</v>
      </c>
      <c r="B151" t="s">
        <v>0</v>
      </c>
      <c r="C151">
        <v>33816576</v>
      </c>
      <c r="D151"/>
      <c r="E151" s="2">
        <f>表9_15161718242930313233343540435437048[[#This Row],[Core Cyc'#/Frame]]*30/1000/1000</f>
        <v>1014.49728</v>
      </c>
      <c r="F151">
        <v>19</v>
      </c>
      <c r="G151" s="31"/>
    </row>
    <row r="152" spans="1:7" x14ac:dyDescent="0.15">
      <c r="C152">
        <v>42336256</v>
      </c>
      <c r="D152"/>
      <c r="E152" s="2">
        <f>表9_15161718242930313233343540435437048[[#This Row],[Core Cyc'#/Frame]]*30/1000/1000</f>
        <v>1270.0876799999999</v>
      </c>
      <c r="F152"/>
      <c r="G152" s="31"/>
    </row>
    <row r="153" spans="1:7" x14ac:dyDescent="0.15">
      <c r="A153" s="3" t="s">
        <v>84</v>
      </c>
      <c r="B153" s="4"/>
      <c r="C153" s="4"/>
      <c r="D153" s="5"/>
      <c r="E153" s="6"/>
      <c r="F153" s="4"/>
      <c r="G153" s="31"/>
    </row>
    <row r="154" spans="1:7" x14ac:dyDescent="0.15">
      <c r="A154" t="s">
        <v>4</v>
      </c>
      <c r="C154"/>
      <c r="D154"/>
      <c r="E154"/>
      <c r="F154"/>
      <c r="G154" s="31"/>
    </row>
    <row r="155" spans="1:7" x14ac:dyDescent="0.15">
      <c r="A155" s="1" t="s">
        <v>1</v>
      </c>
      <c r="B155" s="1" t="s">
        <v>2</v>
      </c>
      <c r="C155" s="1" t="s">
        <v>6</v>
      </c>
      <c r="D155" s="1" t="s">
        <v>7</v>
      </c>
      <c r="E155" s="1" t="s">
        <v>8</v>
      </c>
      <c r="F155" s="1" t="s">
        <v>5</v>
      </c>
      <c r="G155" s="31"/>
    </row>
    <row r="156" spans="1:7" x14ac:dyDescent="0.15">
      <c r="A156" t="s">
        <v>3</v>
      </c>
      <c r="B156" t="s">
        <v>0</v>
      </c>
      <c r="C156">
        <v>23134208</v>
      </c>
      <c r="D156"/>
      <c r="E156" s="2">
        <f>表9_15161718242930313233343540276545[[#This Row],[Core Cyc'#/Frame]]*30/1000/1000</f>
        <v>694.02624000000003</v>
      </c>
      <c r="F156">
        <v>19</v>
      </c>
      <c r="G156" s="31"/>
    </row>
    <row r="157" spans="1:7" x14ac:dyDescent="0.15">
      <c r="B157" t="s">
        <v>9</v>
      </c>
      <c r="C157">
        <v>28639232</v>
      </c>
      <c r="D157"/>
      <c r="E157" s="2">
        <f>表9_15161718242930313233343540276545[[#This Row],[Core Cyc'#/Frame]]*30/1000/1000</f>
        <v>859.17696000000001</v>
      </c>
      <c r="F157">
        <v>30</v>
      </c>
      <c r="G157" s="31"/>
    </row>
    <row r="158" spans="1:7" x14ac:dyDescent="0.15">
      <c r="B158" t="s">
        <v>93</v>
      </c>
      <c r="C158"/>
      <c r="D158" s="2"/>
      <c r="E158" s="2">
        <f>表9_15161718242930313233343540276545[[#This Row],[Core Cyc'#/Frame]]*30/1000/1000</f>
        <v>0</v>
      </c>
      <c r="F158"/>
      <c r="G158" s="31"/>
    </row>
    <row r="159" spans="1:7" x14ac:dyDescent="0.15">
      <c r="A159" s="3" t="s">
        <v>85</v>
      </c>
      <c r="B159" s="4"/>
      <c r="C159" s="4"/>
      <c r="D159" s="5"/>
      <c r="E159" s="6"/>
      <c r="F159" s="4"/>
      <c r="G159" s="31"/>
    </row>
    <row r="160" spans="1:7" x14ac:dyDescent="0.15">
      <c r="A160" t="s">
        <v>4</v>
      </c>
      <c r="C160"/>
      <c r="D160"/>
      <c r="E160"/>
      <c r="F160"/>
      <c r="G160" s="31"/>
    </row>
    <row r="161" spans="1:7" x14ac:dyDescent="0.15">
      <c r="A161" s="1" t="s">
        <v>1</v>
      </c>
      <c r="B161" s="1" t="s">
        <v>2</v>
      </c>
      <c r="C161" s="1" t="s">
        <v>6</v>
      </c>
      <c r="D161" s="1" t="s">
        <v>7</v>
      </c>
      <c r="E161" s="1" t="s">
        <v>8</v>
      </c>
      <c r="F161" s="1" t="s">
        <v>5</v>
      </c>
      <c r="G161" s="31"/>
    </row>
    <row r="162" spans="1:7" x14ac:dyDescent="0.15">
      <c r="A162" t="s">
        <v>3</v>
      </c>
      <c r="B162" t="s">
        <v>0</v>
      </c>
      <c r="C162">
        <v>17563648</v>
      </c>
      <c r="D162"/>
      <c r="E162" s="2">
        <f>表9_1516171824293031323334354041286646[[#This Row],[Core Cyc'#/Frame]]*30/1000/1000</f>
        <v>526.9094399999999</v>
      </c>
      <c r="F162">
        <v>19</v>
      </c>
      <c r="G162" s="31"/>
    </row>
    <row r="163" spans="1:7" x14ac:dyDescent="0.15">
      <c r="B163" t="s">
        <v>9</v>
      </c>
      <c r="C163">
        <v>22085632</v>
      </c>
      <c r="D163"/>
      <c r="E163" s="2">
        <f>表9_1516171824293031323334354041286646[[#This Row],[Core Cyc'#/Frame]]*30/1000/1000</f>
        <v>662.56895999999995</v>
      </c>
      <c r="F163">
        <v>30</v>
      </c>
      <c r="G163" s="31"/>
    </row>
    <row r="164" spans="1:7" x14ac:dyDescent="0.15">
      <c r="B164" t="s">
        <v>10</v>
      </c>
      <c r="C164">
        <v>26279936</v>
      </c>
      <c r="D164"/>
      <c r="E164" s="2">
        <f>表9_1516171824293031323334354041286646[[#This Row],[Core Cyc'#/Frame]]*30/1000/1000</f>
        <v>788.39807999999994</v>
      </c>
      <c r="F164">
        <v>38</v>
      </c>
      <c r="G164" s="31"/>
    </row>
    <row r="165" spans="1:7" x14ac:dyDescent="0.15">
      <c r="B165" t="s">
        <v>9</v>
      </c>
      <c r="C165">
        <v>19955712</v>
      </c>
      <c r="D165" s="2"/>
      <c r="E165" s="2">
        <f>表9_1516171824293031323334354041286646[[#This Row],[Core Cyc'#/Frame]]*30/1000/1000</f>
        <v>598.67135999999994</v>
      </c>
      <c r="F165"/>
      <c r="G165" s="31"/>
    </row>
    <row r="166" spans="1:7" x14ac:dyDescent="0.15">
      <c r="A166" s="3" t="s">
        <v>86</v>
      </c>
      <c r="B166" s="4"/>
      <c r="C166" s="4"/>
      <c r="D166" s="5"/>
      <c r="E166" s="6"/>
      <c r="F166" s="4"/>
      <c r="G166" s="31"/>
    </row>
    <row r="167" spans="1:7" x14ac:dyDescent="0.15">
      <c r="A167" t="s">
        <v>4</v>
      </c>
      <c r="C167"/>
      <c r="D167"/>
      <c r="E167"/>
      <c r="F167"/>
      <c r="G167" s="31"/>
    </row>
    <row r="168" spans="1:7" x14ac:dyDescent="0.15">
      <c r="A168" s="1" t="s">
        <v>1</v>
      </c>
      <c r="B168" s="1" t="s">
        <v>2</v>
      </c>
      <c r="C168" s="1" t="s">
        <v>6</v>
      </c>
      <c r="D168" s="1" t="s">
        <v>7</v>
      </c>
      <c r="E168" s="1" t="s">
        <v>8</v>
      </c>
      <c r="F168" s="1" t="s">
        <v>5</v>
      </c>
      <c r="G168" s="31"/>
    </row>
    <row r="169" spans="1:7" x14ac:dyDescent="0.15">
      <c r="A169" t="s">
        <v>3</v>
      </c>
      <c r="B169" t="s">
        <v>0</v>
      </c>
      <c r="C169">
        <v>13008896</v>
      </c>
      <c r="D169"/>
      <c r="E169" s="2">
        <f>表9_151617182429303132333435404142366747[[#This Row],[Core Cyc'#/Frame]]*30/1000/1000</f>
        <v>390.26688000000001</v>
      </c>
      <c r="F169">
        <v>19</v>
      </c>
      <c r="G169" s="31"/>
    </row>
    <row r="170" spans="1:7" x14ac:dyDescent="0.15">
      <c r="B170" t="s">
        <v>9</v>
      </c>
      <c r="C170">
        <v>13893632</v>
      </c>
      <c r="D170"/>
      <c r="E170" s="2">
        <f>表9_151617182429303132333435404142366747[[#This Row],[Core Cyc'#/Frame]]*30/1000/1000</f>
        <v>416.80896000000001</v>
      </c>
      <c r="F170">
        <v>30</v>
      </c>
      <c r="G170" s="31"/>
    </row>
    <row r="171" spans="1:7" x14ac:dyDescent="0.15">
      <c r="B171" t="s">
        <v>10</v>
      </c>
      <c r="C171">
        <v>15761408</v>
      </c>
      <c r="D171"/>
      <c r="E171" s="2">
        <f>表9_151617182429303132333435404142366747[[#This Row],[Core Cyc'#/Frame]]*30/1000/1000</f>
        <v>472.84224</v>
      </c>
      <c r="F171">
        <v>38</v>
      </c>
      <c r="G171" s="31"/>
    </row>
    <row r="172" spans="1:7" x14ac:dyDescent="0.15">
      <c r="B172" t="s">
        <v>9</v>
      </c>
      <c r="C172">
        <v>13107200</v>
      </c>
      <c r="D172"/>
      <c r="E172" s="2">
        <f>表9_151617182429303132333435404142366747[[#This Row],[Core Cyc'#/Frame]]*30/1000/1000</f>
        <v>393.21600000000001</v>
      </c>
      <c r="F172">
        <v>30</v>
      </c>
      <c r="G172" s="31"/>
    </row>
    <row r="173" spans="1:7" x14ac:dyDescent="0.15">
      <c r="A173" s="3" t="s">
        <v>87</v>
      </c>
      <c r="B173" s="4"/>
      <c r="C173" s="4"/>
      <c r="D173" s="5"/>
      <c r="E173" s="6"/>
      <c r="F173" s="4"/>
      <c r="G173" s="31"/>
    </row>
    <row r="174" spans="1:7" x14ac:dyDescent="0.15">
      <c r="A174" t="s">
        <v>4</v>
      </c>
      <c r="C174"/>
      <c r="D174"/>
      <c r="E174"/>
      <c r="F174"/>
      <c r="G174" s="31"/>
    </row>
    <row r="175" spans="1:7" x14ac:dyDescent="0.15">
      <c r="A175" s="1" t="s">
        <v>1</v>
      </c>
      <c r="B175" s="1" t="s">
        <v>2</v>
      </c>
      <c r="C175" s="1" t="s">
        <v>6</v>
      </c>
      <c r="D175" s="1" t="s">
        <v>7</v>
      </c>
      <c r="E175" s="1" t="s">
        <v>8</v>
      </c>
      <c r="F175" s="1" t="s">
        <v>5</v>
      </c>
      <c r="G175" s="31"/>
    </row>
    <row r="176" spans="1:7" x14ac:dyDescent="0.15">
      <c r="A176" t="s">
        <v>3</v>
      </c>
      <c r="B176" t="s">
        <v>0</v>
      </c>
      <c r="C176">
        <v>13008896</v>
      </c>
      <c r="D176"/>
      <c r="E176" s="2">
        <f>表9_1516171824293031323334354041426447149[[#This Row],[Core Cyc'#/Frame]]*30/1000/1000</f>
        <v>390.26688000000001</v>
      </c>
      <c r="F176">
        <v>19</v>
      </c>
      <c r="G176" s="31"/>
    </row>
    <row r="177" spans="1:7" x14ac:dyDescent="0.15">
      <c r="B177" t="s">
        <v>9</v>
      </c>
      <c r="C177">
        <v>13172736</v>
      </c>
      <c r="D177"/>
      <c r="E177" s="2">
        <f>表9_1516171824293031323334354041426447149[[#This Row],[Core Cyc'#/Frame]]*30/1000/1000</f>
        <v>395.18208000000004</v>
      </c>
      <c r="F177">
        <v>30</v>
      </c>
      <c r="G177" s="31"/>
    </row>
    <row r="178" spans="1:7" x14ac:dyDescent="0.15">
      <c r="B178" t="s">
        <v>10</v>
      </c>
      <c r="C178">
        <v>13762560</v>
      </c>
      <c r="D178"/>
      <c r="E178" s="2">
        <f>表9_1516171824293031323334354041426447149[[#This Row],[Core Cyc'#/Frame]]*30/1000/1000</f>
        <v>412.8768</v>
      </c>
      <c r="F178">
        <v>38</v>
      </c>
      <c r="G178" s="31"/>
    </row>
    <row r="179" spans="1:7" x14ac:dyDescent="0.15">
      <c r="B179" t="s">
        <v>9</v>
      </c>
      <c r="C179">
        <v>12779520</v>
      </c>
      <c r="D179"/>
      <c r="E179" s="2">
        <f>表9_1516171824293031323334354041426447149[[#This Row],[Core Cyc'#/Frame]]*30/1000/1000</f>
        <v>383.38559999999995</v>
      </c>
      <c r="F179">
        <v>30</v>
      </c>
      <c r="G179" s="31"/>
    </row>
    <row r="180" spans="1:7" x14ac:dyDescent="0.15">
      <c r="B180" t="s">
        <v>10</v>
      </c>
      <c r="C180">
        <v>13958720</v>
      </c>
      <c r="D180"/>
      <c r="E180" s="2">
        <f>表9_1516171824293031323334354041426447149[[#This Row],[Core Cyc'#/Frame]]*30/1000/1000</f>
        <v>418.76159999999999</v>
      </c>
      <c r="F180">
        <v>38</v>
      </c>
      <c r="G180" s="31"/>
    </row>
    <row r="181" spans="1:7" x14ac:dyDescent="0.15">
      <c r="A181" s="3" t="s">
        <v>88</v>
      </c>
      <c r="B181" s="4"/>
      <c r="C181" s="4"/>
      <c r="D181" s="5"/>
      <c r="E181" s="6"/>
      <c r="F181" s="4"/>
      <c r="G181" s="31"/>
    </row>
    <row r="182" spans="1:7" x14ac:dyDescent="0.15">
      <c r="A182" t="s">
        <v>4</v>
      </c>
      <c r="C182"/>
      <c r="D182"/>
      <c r="E182"/>
      <c r="F182"/>
      <c r="G182" s="31"/>
    </row>
    <row r="183" spans="1:7" x14ac:dyDescent="0.15">
      <c r="A183" s="1" t="s">
        <v>1</v>
      </c>
      <c r="B183" s="1" t="s">
        <v>2</v>
      </c>
      <c r="C183" s="1" t="s">
        <v>6</v>
      </c>
      <c r="D183" s="1" t="s">
        <v>7</v>
      </c>
      <c r="E183" s="1" t="s">
        <v>8</v>
      </c>
      <c r="F183" s="1" t="s">
        <v>5</v>
      </c>
      <c r="G183" s="31"/>
    </row>
    <row r="184" spans="1:7" x14ac:dyDescent="0.15">
      <c r="A184" t="s">
        <v>3</v>
      </c>
      <c r="B184" t="s">
        <v>0</v>
      </c>
      <c r="C184">
        <v>13008896</v>
      </c>
      <c r="D184"/>
      <c r="E184" s="2">
        <f>表9_151617182429303132333435404142618558250[[#This Row],[Core Cyc'#/Frame]]*30/1000/1000</f>
        <v>390.26688000000001</v>
      </c>
      <c r="F184">
        <v>19</v>
      </c>
      <c r="G184" s="31"/>
    </row>
    <row r="185" spans="1:7" x14ac:dyDescent="0.15">
      <c r="B185" t="s">
        <v>9</v>
      </c>
      <c r="C185">
        <v>13238272</v>
      </c>
      <c r="D185"/>
      <c r="E185" s="2">
        <f>表9_151617182429303132333435404142618558250[[#This Row],[Core Cyc'#/Frame]]*30/1000/1000</f>
        <v>397.14815999999996</v>
      </c>
      <c r="F185">
        <v>30</v>
      </c>
      <c r="G185" s="31"/>
    </row>
    <row r="186" spans="1:7" x14ac:dyDescent="0.15">
      <c r="B186" t="s">
        <v>10</v>
      </c>
      <c r="C186">
        <v>14254080</v>
      </c>
      <c r="D186"/>
      <c r="E186" s="2">
        <f>表9_151617182429303132333435404142618558250[[#This Row],[Core Cyc'#/Frame]]*30/1000/1000</f>
        <v>427.62240000000003</v>
      </c>
      <c r="F186">
        <v>38</v>
      </c>
      <c r="G186" s="31"/>
    </row>
    <row r="187" spans="1:7" x14ac:dyDescent="0.15">
      <c r="B187" t="s">
        <v>9</v>
      </c>
      <c r="C187">
        <v>12812288</v>
      </c>
      <c r="D187"/>
      <c r="E187" s="2">
        <f>表9_151617182429303132333435404142618558250[[#This Row],[Core Cyc'#/Frame]]*30/1000/1000</f>
        <v>384.36864000000003</v>
      </c>
      <c r="F187">
        <v>30</v>
      </c>
      <c r="G187" s="31"/>
    </row>
    <row r="188" spans="1:7" x14ac:dyDescent="0.15">
      <c r="B188" t="s">
        <v>10</v>
      </c>
      <c r="C188">
        <v>13762560</v>
      </c>
      <c r="D188"/>
      <c r="E188" s="2">
        <f>表9_151617182429303132333435404142618558250[[#This Row],[Core Cyc'#/Frame]]*30/1000/1000</f>
        <v>412.8768</v>
      </c>
      <c r="F188">
        <v>38</v>
      </c>
      <c r="G188" s="31"/>
    </row>
    <row r="189" spans="1:7" x14ac:dyDescent="0.15">
      <c r="G189" s="31"/>
    </row>
    <row r="190" spans="1:7" x14ac:dyDescent="0.15">
      <c r="G190" s="31"/>
    </row>
    <row r="191" spans="1:7" x14ac:dyDescent="0.15">
      <c r="G191" s="31"/>
    </row>
    <row r="192" spans="1:7" x14ac:dyDescent="0.15">
      <c r="G192" s="31"/>
    </row>
    <row r="193" spans="7:7" customFormat="1" x14ac:dyDescent="0.15">
      <c r="G193" s="31"/>
    </row>
    <row r="194" spans="7:7" customFormat="1" x14ac:dyDescent="0.15">
      <c r="G194" s="31"/>
    </row>
    <row r="195" spans="7:7" customFormat="1" x14ac:dyDescent="0.15">
      <c r="G195" s="31"/>
    </row>
  </sheetData>
  <mergeCells count="3">
    <mergeCell ref="A1:F1"/>
    <mergeCell ref="A146:F146"/>
    <mergeCell ref="A147:F147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workbookViewId="0">
      <selection activeCell="E23" sqref="E23"/>
    </sheetView>
  </sheetViews>
  <sheetFormatPr defaultRowHeight="13.5" x14ac:dyDescent="0.15"/>
  <cols>
    <col min="1" max="1" width="30.875" customWidth="1"/>
    <col min="2" max="2" width="11.625" bestFit="1" customWidth="1"/>
    <col min="3" max="3" width="21.5" style="24" customWidth="1"/>
    <col min="4" max="4" width="20.25" style="24" bestFit="1" customWidth="1"/>
    <col min="5" max="5" width="36" style="24" customWidth="1"/>
    <col min="6" max="6" width="11.625" style="24" bestFit="1" customWidth="1"/>
    <col min="7" max="7" width="2" style="30" customWidth="1"/>
  </cols>
  <sheetData>
    <row r="1" spans="1:7" ht="21" customHeight="1" x14ac:dyDescent="0.25">
      <c r="A1" s="99" t="s">
        <v>107</v>
      </c>
      <c r="B1" s="100"/>
      <c r="C1" s="100"/>
      <c r="D1" s="100"/>
      <c r="E1" s="100"/>
      <c r="F1" s="100"/>
      <c r="G1" s="31"/>
    </row>
    <row r="2" spans="1:7" x14ac:dyDescent="0.15">
      <c r="A2" s="1" t="s">
        <v>23</v>
      </c>
      <c r="G2" s="31"/>
    </row>
    <row r="3" spans="1:7" x14ac:dyDescent="0.15">
      <c r="A3" t="s">
        <v>112</v>
      </c>
      <c r="G3" s="31"/>
    </row>
    <row r="4" spans="1:7" x14ac:dyDescent="0.15">
      <c r="A4" s="1" t="s">
        <v>1</v>
      </c>
      <c r="B4" s="1" t="s">
        <v>2</v>
      </c>
      <c r="C4" s="25" t="s">
        <v>6</v>
      </c>
      <c r="D4" s="25" t="s">
        <v>7</v>
      </c>
      <c r="E4" s="25" t="s">
        <v>89</v>
      </c>
      <c r="F4" s="25" t="s">
        <v>5</v>
      </c>
      <c r="G4" s="31"/>
    </row>
    <row r="5" spans="1:7" x14ac:dyDescent="0.15">
      <c r="A5" t="s">
        <v>3</v>
      </c>
      <c r="B5" t="s">
        <v>0</v>
      </c>
      <c r="C5" s="24">
        <v>15400960</v>
      </c>
      <c r="D5" s="27"/>
      <c r="E5" s="27">
        <f>表9_15161718243104[[#This Row],[Core Cyc'#/Frame]]*30/1000/1000</f>
        <v>462.02879999999999</v>
      </c>
      <c r="G5" s="31"/>
    </row>
    <row r="6" spans="1:7" x14ac:dyDescent="0.15">
      <c r="B6" t="s">
        <v>9</v>
      </c>
      <c r="C6" s="24">
        <v>17793024</v>
      </c>
      <c r="D6" s="27"/>
      <c r="E6" s="27">
        <f>表9_15161718243104[[#This Row],[Core Cyc'#/Frame]]*30/1000/1000</f>
        <v>533.79071999999996</v>
      </c>
      <c r="G6" s="31"/>
    </row>
    <row r="7" spans="1:7" x14ac:dyDescent="0.15">
      <c r="B7" t="s">
        <v>110</v>
      </c>
      <c r="C7" s="24">
        <v>19660800</v>
      </c>
      <c r="D7" s="27"/>
      <c r="E7" s="27">
        <f>表9_15161718243104[[#This Row],[Core Cyc'#/Frame]]*30/1000/1000</f>
        <v>589.82399999999996</v>
      </c>
      <c r="G7" s="31"/>
    </row>
    <row r="8" spans="1:7" x14ac:dyDescent="0.15">
      <c r="B8" t="s">
        <v>111</v>
      </c>
      <c r="C8" s="24">
        <v>17793024</v>
      </c>
      <c r="D8" s="27"/>
      <c r="E8" s="27">
        <f>表9_15161718243104[[#This Row],[Core Cyc'#/Frame]]*30/1000/1000</f>
        <v>533.79071999999996</v>
      </c>
      <c r="G8" s="31"/>
    </row>
    <row r="9" spans="1:7" x14ac:dyDescent="0.15">
      <c r="B9" t="s">
        <v>110</v>
      </c>
      <c r="C9" s="24">
        <v>19759104</v>
      </c>
      <c r="D9" s="27"/>
      <c r="E9" s="27">
        <f>表9_15161718243104[[#This Row],[Core Cyc'#/Frame]]*30/1000/1000</f>
        <v>592.77311999999995</v>
      </c>
      <c r="G9" s="31"/>
    </row>
    <row r="10" spans="1:7" x14ac:dyDescent="0.15">
      <c r="D10" s="27"/>
      <c r="E10" s="27"/>
      <c r="G10" s="31"/>
    </row>
    <row r="11" spans="1:7" x14ac:dyDescent="0.15">
      <c r="A11" s="1" t="s">
        <v>24</v>
      </c>
      <c r="D11" s="27"/>
      <c r="E11" s="27"/>
      <c r="G11" s="31"/>
    </row>
    <row r="12" spans="1:7" x14ac:dyDescent="0.15">
      <c r="A12" t="s">
        <v>4</v>
      </c>
      <c r="G12" s="31"/>
    </row>
    <row r="13" spans="1:7" x14ac:dyDescent="0.15">
      <c r="A13" s="1" t="s">
        <v>1</v>
      </c>
      <c r="B13" s="1" t="s">
        <v>2</v>
      </c>
      <c r="C13" s="25" t="s">
        <v>6</v>
      </c>
      <c r="D13" s="25" t="s">
        <v>7</v>
      </c>
      <c r="E13" s="25" t="s">
        <v>8</v>
      </c>
      <c r="F13" s="25" t="s">
        <v>5</v>
      </c>
      <c r="G13" s="31"/>
    </row>
    <row r="14" spans="1:7" x14ac:dyDescent="0.15">
      <c r="A14" t="s">
        <v>3</v>
      </c>
      <c r="B14" t="s">
        <v>0</v>
      </c>
      <c r="C14" s="24">
        <v>14516224</v>
      </c>
      <c r="D14" s="27"/>
      <c r="E14" s="27">
        <f>表9_15161718242912105[[#This Row],[Core Cyc'#/Frame]]*30/1000/1000</f>
        <v>435.48671999999999</v>
      </c>
      <c r="G14" s="31"/>
    </row>
    <row r="15" spans="1:7" x14ac:dyDescent="0.15">
      <c r="B15" t="s">
        <v>9</v>
      </c>
      <c r="C15" s="24">
        <v>19857408</v>
      </c>
      <c r="D15" s="27"/>
      <c r="E15" s="27">
        <f>表9_15161718242912105[[#This Row],[Core Cyc'#/Frame]]*30/1000/1000</f>
        <v>595.72223999999994</v>
      </c>
      <c r="G15" s="31"/>
    </row>
    <row r="16" spans="1:7" x14ac:dyDescent="0.15">
      <c r="B16" t="s">
        <v>10</v>
      </c>
      <c r="C16" s="24">
        <v>23953408</v>
      </c>
      <c r="D16" s="27"/>
      <c r="E16" s="27">
        <f>表9_15161718242912105[[#This Row],[Core Cyc'#/Frame]]*30/1000/1000</f>
        <v>718.60223999999994</v>
      </c>
      <c r="G16" s="31"/>
    </row>
    <row r="17" spans="1:7" x14ac:dyDescent="0.15">
      <c r="B17" t="s">
        <v>111</v>
      </c>
      <c r="C17" s="24">
        <v>20021248</v>
      </c>
      <c r="D17" s="27"/>
      <c r="E17" s="27">
        <f>表9_15161718242912105[[#This Row],[Core Cyc'#/Frame]]*30/1000/1000</f>
        <v>600.63743999999997</v>
      </c>
      <c r="G17" s="31"/>
    </row>
    <row r="18" spans="1:7" x14ac:dyDescent="0.15">
      <c r="B18" t="s">
        <v>110</v>
      </c>
      <c r="D18" s="27"/>
      <c r="E18" s="27">
        <f>表9_15161718242912105[[#This Row],[Core Cyc'#/Frame]]*30/1000/1000</f>
        <v>0</v>
      </c>
      <c r="G18" s="31"/>
    </row>
    <row r="19" spans="1:7" x14ac:dyDescent="0.15">
      <c r="D19" s="27"/>
      <c r="E19" s="27"/>
      <c r="G19" s="31"/>
    </row>
    <row r="20" spans="1:7" x14ac:dyDescent="0.15">
      <c r="A20" s="3" t="s">
        <v>25</v>
      </c>
      <c r="B20" s="4"/>
      <c r="C20" s="26"/>
      <c r="D20" s="29"/>
      <c r="E20" s="28"/>
      <c r="F20" s="26"/>
      <c r="G20" s="31"/>
    </row>
    <row r="21" spans="1:7" x14ac:dyDescent="0.15">
      <c r="A21" t="s">
        <v>4</v>
      </c>
      <c r="G21" s="31"/>
    </row>
    <row r="22" spans="1:7" x14ac:dyDescent="0.15">
      <c r="A22" s="1" t="s">
        <v>1</v>
      </c>
      <c r="B22" s="1" t="s">
        <v>2</v>
      </c>
      <c r="C22" s="25" t="s">
        <v>6</v>
      </c>
      <c r="D22" s="25" t="s">
        <v>7</v>
      </c>
      <c r="E22" s="25" t="s">
        <v>8</v>
      </c>
      <c r="F22" s="25" t="s">
        <v>5</v>
      </c>
      <c r="G22" s="31"/>
    </row>
    <row r="23" spans="1:7" x14ac:dyDescent="0.15">
      <c r="A23" t="s">
        <v>3</v>
      </c>
      <c r="B23" t="s">
        <v>0</v>
      </c>
      <c r="C23" s="24">
        <v>12386304</v>
      </c>
      <c r="D23" s="27"/>
      <c r="E23" s="27">
        <f>表9_1516171824293019106[[#This Row],[Core Cyc'#/Frame]]*30/1000/1000</f>
        <v>371.58911999999998</v>
      </c>
      <c r="G23" s="31"/>
    </row>
    <row r="24" spans="1:7" x14ac:dyDescent="0.15">
      <c r="B24" t="s">
        <v>9</v>
      </c>
      <c r="C24" s="24">
        <v>15794176</v>
      </c>
      <c r="D24" s="27"/>
      <c r="E24" s="27">
        <f>表9_1516171824293019106[[#This Row],[Core Cyc'#/Frame]]*30/1000/1000</f>
        <v>473.82528000000002</v>
      </c>
      <c r="G24" s="31"/>
    </row>
    <row r="25" spans="1:7" x14ac:dyDescent="0.15">
      <c r="B25" t="s">
        <v>110</v>
      </c>
      <c r="C25" s="24">
        <v>18710528</v>
      </c>
      <c r="D25" s="27"/>
      <c r="E25" s="27">
        <f>表9_1516171824293019106[[#This Row],[Core Cyc'#/Frame]]*30/1000/1000</f>
        <v>561.31583999999998</v>
      </c>
      <c r="G25" s="31"/>
    </row>
    <row r="26" spans="1:7" x14ac:dyDescent="0.15">
      <c r="B26" t="s">
        <v>111</v>
      </c>
      <c r="C26" s="24">
        <v>15925248</v>
      </c>
      <c r="D26" s="27"/>
      <c r="E26" s="27">
        <f>表9_1516171824293019106[[#This Row],[Core Cyc'#/Frame]]*30/1000/1000</f>
        <v>477.75743999999997</v>
      </c>
      <c r="G26" s="31"/>
    </row>
    <row r="27" spans="1:7" x14ac:dyDescent="0.15">
      <c r="B27" t="s">
        <v>10</v>
      </c>
      <c r="C27" s="24">
        <v>18808832</v>
      </c>
      <c r="D27" s="27"/>
      <c r="E27" s="27">
        <f>表9_1516171824293019106[[#This Row],[Core Cyc'#/Frame]]*30/1000/1000</f>
        <v>564.26495999999997</v>
      </c>
      <c r="G27" s="31"/>
    </row>
    <row r="28" spans="1:7" x14ac:dyDescent="0.15">
      <c r="D28" s="27"/>
      <c r="E28" s="27"/>
      <c r="G28" s="31"/>
    </row>
    <row r="29" spans="1:7" x14ac:dyDescent="0.15">
      <c r="A29" s="3" t="s">
        <v>26</v>
      </c>
      <c r="B29" s="4"/>
      <c r="C29" s="26"/>
      <c r="D29" s="29"/>
      <c r="E29" s="28"/>
      <c r="F29" s="26"/>
      <c r="G29" s="31"/>
    </row>
    <row r="30" spans="1:7" x14ac:dyDescent="0.15">
      <c r="A30" t="s">
        <v>4</v>
      </c>
      <c r="G30" s="31"/>
    </row>
    <row r="31" spans="1:7" x14ac:dyDescent="0.15">
      <c r="A31" s="1" t="s">
        <v>1</v>
      </c>
      <c r="B31" s="1" t="s">
        <v>2</v>
      </c>
      <c r="C31" s="25" t="s">
        <v>6</v>
      </c>
      <c r="D31" s="25" t="s">
        <v>7</v>
      </c>
      <c r="E31" s="25" t="s">
        <v>8</v>
      </c>
      <c r="F31" s="25" t="s">
        <v>5</v>
      </c>
      <c r="G31" s="31"/>
    </row>
    <row r="32" spans="1:7" x14ac:dyDescent="0.15">
      <c r="A32" t="s">
        <v>3</v>
      </c>
      <c r="B32" t="s">
        <v>0</v>
      </c>
      <c r="C32" s="24">
        <v>12386304</v>
      </c>
      <c r="D32" s="27"/>
      <c r="E32" s="27">
        <f>表9_151617182429303120107[[#This Row],[Core Cyc'#/Frame]]*30/1000/1000</f>
        <v>371.58911999999998</v>
      </c>
      <c r="G32" s="31"/>
    </row>
    <row r="33" spans="1:7" x14ac:dyDescent="0.15">
      <c r="B33" t="s">
        <v>9</v>
      </c>
      <c r="C33" s="24">
        <v>13959168</v>
      </c>
      <c r="D33" s="27"/>
      <c r="E33" s="27">
        <f>表9_151617182429303120107[[#This Row],[Core Cyc'#/Frame]]*30/1000/1000</f>
        <v>418.77503999999999</v>
      </c>
      <c r="G33" s="31"/>
    </row>
    <row r="34" spans="1:7" x14ac:dyDescent="0.15">
      <c r="B34" t="s">
        <v>110</v>
      </c>
      <c r="C34" s="24">
        <v>15826944</v>
      </c>
      <c r="D34" s="27"/>
      <c r="E34" s="27">
        <f>表9_151617182429303120107[[#This Row],[Core Cyc'#/Frame]]*30/1000/1000</f>
        <v>474.80831999999998</v>
      </c>
      <c r="G34" s="31"/>
    </row>
    <row r="35" spans="1:7" x14ac:dyDescent="0.15">
      <c r="B35" t="s">
        <v>111</v>
      </c>
      <c r="C35" s="24">
        <v>14057472</v>
      </c>
      <c r="D35" s="27"/>
      <c r="E35" s="27">
        <f>表9_151617182429303120107[[#This Row],[Core Cyc'#/Frame]]*30/1000/1000</f>
        <v>421.72415999999998</v>
      </c>
      <c r="G35" s="31"/>
    </row>
    <row r="36" spans="1:7" x14ac:dyDescent="0.15">
      <c r="B36" t="s">
        <v>10</v>
      </c>
      <c r="C36" s="24">
        <v>15892480</v>
      </c>
      <c r="D36" s="27"/>
      <c r="E36" s="27">
        <f>表9_151617182429303120107[[#This Row],[Core Cyc'#/Frame]]*30/1000/1000</f>
        <v>476.77440000000001</v>
      </c>
      <c r="G36" s="31"/>
    </row>
    <row r="37" spans="1:7" x14ac:dyDescent="0.15">
      <c r="B37" t="s">
        <v>9</v>
      </c>
      <c r="C37" s="24">
        <v>14057472</v>
      </c>
      <c r="D37" s="27"/>
      <c r="E37" s="27">
        <f>表9_151617182429303120107[[#This Row],[Core Cyc'#/Frame]]*30/1000/1000</f>
        <v>421.72415999999998</v>
      </c>
      <c r="G37" s="31"/>
    </row>
    <row r="38" spans="1:7" x14ac:dyDescent="0.15">
      <c r="A38" s="3" t="s">
        <v>27</v>
      </c>
      <c r="B38" s="4"/>
      <c r="C38" s="26"/>
      <c r="D38" s="29"/>
      <c r="E38" s="28"/>
      <c r="F38" s="26"/>
      <c r="G38" s="31"/>
    </row>
    <row r="39" spans="1:7" x14ac:dyDescent="0.15">
      <c r="A39" t="s">
        <v>4</v>
      </c>
      <c r="G39" s="31"/>
    </row>
    <row r="40" spans="1:7" x14ac:dyDescent="0.15">
      <c r="A40" s="1" t="s">
        <v>1</v>
      </c>
      <c r="B40" s="1" t="s">
        <v>2</v>
      </c>
      <c r="C40" s="25" t="s">
        <v>6</v>
      </c>
      <c r="D40" s="25" t="s">
        <v>7</v>
      </c>
      <c r="E40" s="25" t="s">
        <v>8</v>
      </c>
      <c r="F40" s="25" t="s">
        <v>5</v>
      </c>
      <c r="G40" s="31"/>
    </row>
    <row r="41" spans="1:7" x14ac:dyDescent="0.15">
      <c r="A41" t="s">
        <v>3</v>
      </c>
      <c r="B41" t="s">
        <v>0</v>
      </c>
      <c r="C41" s="24">
        <v>12386304</v>
      </c>
      <c r="D41" s="27"/>
      <c r="E41" s="27">
        <f>表9_15161718242930313221108[[#This Row],[Core Cyc'#/Frame]]*30/1000/1000</f>
        <v>371.58911999999998</v>
      </c>
      <c r="G41" s="31"/>
    </row>
    <row r="42" spans="1:7" x14ac:dyDescent="0.15">
      <c r="B42" t="s">
        <v>9</v>
      </c>
      <c r="C42" s="24">
        <v>13336576</v>
      </c>
      <c r="D42" s="27"/>
      <c r="E42" s="27">
        <f>表9_15161718242930313221108[[#This Row],[Core Cyc'#/Frame]]*30/1000/1000</f>
        <v>400.09728000000001</v>
      </c>
      <c r="G42" s="31"/>
    </row>
    <row r="43" spans="1:7" x14ac:dyDescent="0.15">
      <c r="B43" t="s">
        <v>10</v>
      </c>
      <c r="C43" s="24">
        <v>14286848</v>
      </c>
      <c r="D43" s="27"/>
      <c r="E43" s="27">
        <f>表9_15161718242930313221108[[#This Row],[Core Cyc'#/Frame]]*30/1000/1000</f>
        <v>428.60543999999999</v>
      </c>
      <c r="G43" s="31"/>
    </row>
    <row r="44" spans="1:7" x14ac:dyDescent="0.15">
      <c r="B44" t="s">
        <v>111</v>
      </c>
      <c r="C44" s="24">
        <v>13434880</v>
      </c>
      <c r="D44" s="27"/>
      <c r="E44" s="27">
        <f>表9_15161718242930313221108[[#This Row],[Core Cyc'#/Frame]]*30/1000/1000</f>
        <v>403.04640000000001</v>
      </c>
      <c r="G44" s="31"/>
    </row>
    <row r="45" spans="1:7" x14ac:dyDescent="0.15">
      <c r="B45" t="s">
        <v>110</v>
      </c>
      <c r="C45" s="24">
        <v>14319616</v>
      </c>
      <c r="D45" s="27"/>
      <c r="E45" s="27">
        <f>表9_15161718242930313221108[[#This Row],[Core Cyc'#/Frame]]*30/1000/1000</f>
        <v>429.58848</v>
      </c>
      <c r="G45" s="31"/>
    </row>
    <row r="46" spans="1:7" x14ac:dyDescent="0.15">
      <c r="B46" t="s">
        <v>9</v>
      </c>
      <c r="C46" s="24">
        <v>13336576</v>
      </c>
      <c r="D46" s="27"/>
      <c r="E46" s="27">
        <f>表9_15161718242930313221108[[#This Row],[Core Cyc'#/Frame]]*30/1000/1000</f>
        <v>400.09728000000001</v>
      </c>
      <c r="G46" s="31"/>
    </row>
    <row r="47" spans="1:7" x14ac:dyDescent="0.15">
      <c r="A47" s="3" t="s">
        <v>113</v>
      </c>
      <c r="B47" s="4"/>
      <c r="C47" s="26"/>
      <c r="D47" s="29"/>
      <c r="E47" s="28"/>
      <c r="F47" s="26"/>
      <c r="G47" s="31"/>
    </row>
    <row r="48" spans="1:7" x14ac:dyDescent="0.15">
      <c r="A48" t="s">
        <v>4</v>
      </c>
      <c r="G48" s="31"/>
    </row>
    <row r="49" spans="1:7" x14ac:dyDescent="0.15">
      <c r="A49" s="1" t="s">
        <v>1</v>
      </c>
      <c r="B49" s="1" t="s">
        <v>2</v>
      </c>
      <c r="C49" s="25" t="s">
        <v>6</v>
      </c>
      <c r="D49" s="25" t="s">
        <v>7</v>
      </c>
      <c r="E49" s="25" t="s">
        <v>8</v>
      </c>
      <c r="F49" s="25" t="s">
        <v>5</v>
      </c>
      <c r="G49" s="31"/>
    </row>
    <row r="50" spans="1:7" x14ac:dyDescent="0.15">
      <c r="A50" t="s">
        <v>3</v>
      </c>
      <c r="B50" t="s">
        <v>0</v>
      </c>
      <c r="C50" s="24">
        <v>12386304</v>
      </c>
      <c r="D50" s="27"/>
      <c r="E50" s="27">
        <f>表9_151617182429303132237116[[#This Row],[Core Cyc'#/Frame]]*30/1000/1000</f>
        <v>371.58911999999998</v>
      </c>
      <c r="G50" s="31"/>
    </row>
    <row r="51" spans="1:7" x14ac:dyDescent="0.15">
      <c r="B51" t="s">
        <v>9</v>
      </c>
      <c r="C51" s="24">
        <v>13205504</v>
      </c>
      <c r="D51" s="27"/>
      <c r="E51" s="27">
        <f>表9_151617182429303132237116[[#This Row],[Core Cyc'#/Frame]]*30/1000/1000</f>
        <v>396.16512</v>
      </c>
      <c r="G51" s="31"/>
    </row>
    <row r="52" spans="1:7" x14ac:dyDescent="0.15">
      <c r="B52" t="s">
        <v>10</v>
      </c>
      <c r="C52" s="24">
        <v>13565952</v>
      </c>
      <c r="D52" s="27"/>
      <c r="E52" s="27">
        <f>表9_151617182429303132237116[[#This Row],[Core Cyc'#/Frame]]*30/1000/1000</f>
        <v>406.97856000000002</v>
      </c>
      <c r="G52" s="31"/>
    </row>
    <row r="53" spans="1:7" x14ac:dyDescent="0.15">
      <c r="B53" t="s">
        <v>111</v>
      </c>
      <c r="C53" s="24">
        <v>13303808</v>
      </c>
      <c r="D53" s="27"/>
      <c r="E53" s="27">
        <f>表9_151617182429303132237116[[#This Row],[Core Cyc'#/Frame]]*30/1000/1000</f>
        <v>399.11424</v>
      </c>
      <c r="G53" s="31"/>
    </row>
    <row r="54" spans="1:7" x14ac:dyDescent="0.15">
      <c r="B54" t="s">
        <v>110</v>
      </c>
      <c r="C54" s="24">
        <v>13598720</v>
      </c>
      <c r="D54" s="27"/>
      <c r="E54" s="27">
        <f>表9_151617182429303132237116[[#This Row],[Core Cyc'#/Frame]]*30/1000/1000</f>
        <v>407.96159999999998</v>
      </c>
      <c r="G54" s="31"/>
    </row>
    <row r="55" spans="1:7" x14ac:dyDescent="0.15">
      <c r="B55" t="s">
        <v>9</v>
      </c>
      <c r="C55" s="24">
        <v>13139968</v>
      </c>
      <c r="D55" s="27"/>
      <c r="E55" s="27">
        <f>表9_151617182429303132237116[[#This Row],[Core Cyc'#/Frame]]*30/1000/1000</f>
        <v>394.19903999999997</v>
      </c>
      <c r="G55" s="31"/>
    </row>
    <row r="56" spans="1:7" x14ac:dyDescent="0.15">
      <c r="D56" s="27"/>
      <c r="E56" s="27"/>
      <c r="G56" s="31"/>
    </row>
    <row r="57" spans="1:7" x14ac:dyDescent="0.15">
      <c r="A57" s="3" t="s">
        <v>114</v>
      </c>
      <c r="B57" s="4"/>
      <c r="C57" s="26"/>
      <c r="D57" s="29"/>
      <c r="E57" s="28">
        <f>表9_151617182429303132237116[[#This Row],[Core Cyc'#/Frame]]*30/1000/1000</f>
        <v>0</v>
      </c>
      <c r="F57" s="26"/>
      <c r="G57" s="31"/>
    </row>
    <row r="58" spans="1:7" x14ac:dyDescent="0.15">
      <c r="A58" t="s">
        <v>4</v>
      </c>
      <c r="G58" s="31"/>
    </row>
    <row r="59" spans="1:7" x14ac:dyDescent="0.15">
      <c r="A59" s="1" t="s">
        <v>1</v>
      </c>
      <c r="B59" s="1" t="s">
        <v>2</v>
      </c>
      <c r="C59" s="25" t="s">
        <v>6</v>
      </c>
      <c r="D59" s="25" t="s">
        <v>7</v>
      </c>
      <c r="E59" s="25" t="s">
        <v>8</v>
      </c>
      <c r="F59" s="25" t="s">
        <v>5</v>
      </c>
      <c r="G59" s="31"/>
    </row>
    <row r="60" spans="1:7" x14ac:dyDescent="0.15">
      <c r="A60" t="s">
        <v>3</v>
      </c>
      <c r="B60" t="s">
        <v>0</v>
      </c>
      <c r="C60" s="24">
        <v>12386304</v>
      </c>
      <c r="D60" s="27"/>
      <c r="E60" s="27">
        <f>表9_15161718242930313221653120[[#This Row],[Core Cyc'#/Frame]]*30/1000/1000</f>
        <v>371.58911999999998</v>
      </c>
      <c r="G60" s="31"/>
    </row>
    <row r="61" spans="1:7" x14ac:dyDescent="0.15">
      <c r="B61" t="s">
        <v>9</v>
      </c>
      <c r="C61" s="24">
        <v>13172736</v>
      </c>
      <c r="D61" s="27"/>
      <c r="E61" s="27">
        <f>表9_15161718242930313221653120[[#This Row],[Core Cyc'#/Frame]]*30/1000/1000</f>
        <v>395.18208000000004</v>
      </c>
      <c r="G61" s="31"/>
    </row>
    <row r="62" spans="1:7" x14ac:dyDescent="0.15">
      <c r="B62" t="s">
        <v>10</v>
      </c>
      <c r="C62" s="24">
        <v>13271040</v>
      </c>
      <c r="D62" s="27"/>
      <c r="E62" s="27">
        <f>表9_15161718242930313221653120[[#This Row],[Core Cyc'#/Frame]]*30/1000/1000</f>
        <v>398.13120000000004</v>
      </c>
      <c r="G62" s="31"/>
    </row>
    <row r="63" spans="1:7" x14ac:dyDescent="0.15">
      <c r="B63" t="s">
        <v>9</v>
      </c>
      <c r="C63" s="24">
        <v>13238272</v>
      </c>
      <c r="D63" s="27"/>
      <c r="E63" s="27">
        <f>表9_15161718242930313221653120[[#This Row],[Core Cyc'#/Frame]]*30/1000/1000</f>
        <v>397.14815999999996</v>
      </c>
      <c r="G63" s="31"/>
    </row>
    <row r="64" spans="1:7" x14ac:dyDescent="0.15">
      <c r="B64" t="s">
        <v>10</v>
      </c>
      <c r="C64" s="24">
        <v>13271040</v>
      </c>
      <c r="D64" s="27"/>
      <c r="E64" s="27">
        <f>表9_15161718242930313221653120[[#This Row],[Core Cyc'#/Frame]]*30/1000/1000</f>
        <v>398.13120000000004</v>
      </c>
      <c r="G64" s="31"/>
    </row>
    <row r="65" spans="1:7" x14ac:dyDescent="0.15">
      <c r="B65" t="s">
        <v>111</v>
      </c>
      <c r="C65" s="24">
        <v>13074432</v>
      </c>
      <c r="D65" s="27"/>
      <c r="E65" s="27">
        <f>表9_15161718242930313221653120[[#This Row],[Core Cyc'#/Frame]]*30/1000/1000</f>
        <v>392.23296000000005</v>
      </c>
      <c r="G65" s="31"/>
    </row>
    <row r="66" spans="1:7" ht="32.25" customHeight="1" x14ac:dyDescent="0.25">
      <c r="A66" s="99" t="s">
        <v>108</v>
      </c>
      <c r="B66" s="100"/>
      <c r="C66" s="100"/>
      <c r="D66" s="100"/>
      <c r="E66" s="100"/>
      <c r="F66" s="100"/>
      <c r="G66" s="31"/>
    </row>
    <row r="67" spans="1:7" x14ac:dyDescent="0.15">
      <c r="A67" s="7"/>
      <c r="B67" s="7"/>
      <c r="C67" s="32"/>
      <c r="D67" s="32"/>
      <c r="E67" s="32"/>
      <c r="F67" s="32"/>
      <c r="G67" s="31"/>
    </row>
    <row r="68" spans="1:7" x14ac:dyDescent="0.15">
      <c r="A68" s="3" t="s">
        <v>30</v>
      </c>
      <c r="B68" s="4"/>
      <c r="C68" s="26"/>
      <c r="D68" s="29"/>
      <c r="E68" s="28"/>
      <c r="F68" s="26"/>
      <c r="G68" s="31"/>
    </row>
    <row r="69" spans="1:7" x14ac:dyDescent="0.15">
      <c r="A69" t="s">
        <v>4</v>
      </c>
      <c r="G69" s="31"/>
    </row>
    <row r="70" spans="1:7" x14ac:dyDescent="0.15">
      <c r="A70" s="1" t="s">
        <v>1</v>
      </c>
      <c r="B70" s="1" t="s">
        <v>2</v>
      </c>
      <c r="C70" s="25" t="s">
        <v>6</v>
      </c>
      <c r="D70" s="25" t="s">
        <v>7</v>
      </c>
      <c r="E70" s="25" t="s">
        <v>8</v>
      </c>
      <c r="F70" s="25" t="s">
        <v>5</v>
      </c>
      <c r="G70" s="31"/>
    </row>
    <row r="71" spans="1:7" x14ac:dyDescent="0.15">
      <c r="A71" t="s">
        <v>3</v>
      </c>
      <c r="B71" t="s">
        <v>0</v>
      </c>
      <c r="C71" s="24">
        <v>19759104</v>
      </c>
      <c r="E71" s="27">
        <f>表9_1516171824293031323334353926112[[#This Row],[Core Cyc'#/Frame]]*30/1000/1000</f>
        <v>592.77311999999995</v>
      </c>
      <c r="G71" s="31"/>
    </row>
    <row r="72" spans="1:7" x14ac:dyDescent="0.15">
      <c r="B72" t="s">
        <v>9</v>
      </c>
      <c r="C72" s="24">
        <v>25395200</v>
      </c>
      <c r="D72" s="27"/>
      <c r="E72" s="27">
        <f>表9_1516171824293031323334353926112[[#This Row],[Core Cyc'#/Frame]]*30/1000/1000</f>
        <v>761.85599999999999</v>
      </c>
      <c r="G72" s="31"/>
    </row>
    <row r="73" spans="1:7" x14ac:dyDescent="0.15">
      <c r="B73" t="s">
        <v>10</v>
      </c>
      <c r="C73" s="24">
        <v>30441472</v>
      </c>
      <c r="E73" s="27">
        <f>表9_1516171824293031323334353926112[[#This Row],[Core Cyc'#/Frame]]*30/1000/1000</f>
        <v>913.24416000000008</v>
      </c>
      <c r="G73" s="31"/>
    </row>
    <row r="74" spans="1:7" x14ac:dyDescent="0.15">
      <c r="A74" s="3" t="s">
        <v>31</v>
      </c>
      <c r="B74" s="4"/>
      <c r="C74" s="26"/>
      <c r="D74" s="29"/>
      <c r="E74" s="28"/>
      <c r="F74" s="26"/>
      <c r="G74" s="31"/>
    </row>
    <row r="75" spans="1:7" x14ac:dyDescent="0.15">
      <c r="A75" t="s">
        <v>4</v>
      </c>
      <c r="G75" s="31"/>
    </row>
    <row r="76" spans="1:7" x14ac:dyDescent="0.15">
      <c r="A76" s="1" t="s">
        <v>1</v>
      </c>
      <c r="B76" s="1" t="s">
        <v>2</v>
      </c>
      <c r="C76" s="25" t="s">
        <v>6</v>
      </c>
      <c r="D76" s="25" t="s">
        <v>7</v>
      </c>
      <c r="E76" s="25" t="s">
        <v>8</v>
      </c>
      <c r="F76" s="25" t="s">
        <v>5</v>
      </c>
      <c r="G76" s="31"/>
    </row>
    <row r="77" spans="1:7" x14ac:dyDescent="0.15">
      <c r="A77" t="s">
        <v>3</v>
      </c>
      <c r="B77" t="s">
        <v>0</v>
      </c>
      <c r="C77" s="24">
        <v>13238272</v>
      </c>
      <c r="E77" s="27">
        <f>表9_1516171824293031323325111[[#This Row],[Core Cyc'#/Frame]]*30/1000/1000</f>
        <v>397.14815999999996</v>
      </c>
      <c r="G77" s="31"/>
    </row>
    <row r="78" spans="1:7" x14ac:dyDescent="0.15">
      <c r="B78" t="s">
        <v>9</v>
      </c>
      <c r="C78" s="24">
        <v>17596416</v>
      </c>
      <c r="E78" s="27">
        <f>表9_1516171824293031323325111[[#This Row],[Core Cyc'#/Frame]]*30/1000/1000</f>
        <v>527.89247999999998</v>
      </c>
      <c r="G78" s="31"/>
    </row>
    <row r="79" spans="1:7" x14ac:dyDescent="0.15">
      <c r="B79" t="s">
        <v>92</v>
      </c>
      <c r="C79" s="24">
        <v>20742144</v>
      </c>
      <c r="D79" s="27"/>
      <c r="E79" s="27">
        <f>表9_1516171824293031323325111[[#This Row],[Core Cyc'#/Frame]]*30/1000/1000</f>
        <v>622.26432</v>
      </c>
      <c r="G79" s="31"/>
    </row>
    <row r="80" spans="1:7" x14ac:dyDescent="0.15">
      <c r="B80" t="s">
        <v>91</v>
      </c>
      <c r="C80" s="24">
        <v>17727488</v>
      </c>
      <c r="D80" s="27"/>
      <c r="E80" s="27">
        <f>表9_1516171824293031323325111[[#This Row],[Core Cyc'#/Frame]]*30/1000/1000</f>
        <v>531.82464000000004</v>
      </c>
      <c r="G80" s="31"/>
    </row>
    <row r="81" spans="1:7" x14ac:dyDescent="0.15">
      <c r="B81" t="s">
        <v>110</v>
      </c>
      <c r="C81" s="24">
        <v>20905894</v>
      </c>
      <c r="D81" s="27"/>
      <c r="E81" s="27">
        <f>表9_1516171824293031323325111[[#This Row],[Core Cyc'#/Frame]]*30/1000/1000</f>
        <v>627.17681999999991</v>
      </c>
      <c r="G81" s="31"/>
    </row>
    <row r="82" spans="1:7" x14ac:dyDescent="0.15">
      <c r="A82" s="3" t="s">
        <v>32</v>
      </c>
      <c r="B82" s="4"/>
      <c r="C82" s="26"/>
      <c r="D82" s="29"/>
      <c r="E82" s="28"/>
      <c r="F82" s="26"/>
      <c r="G82" s="31"/>
    </row>
    <row r="83" spans="1:7" x14ac:dyDescent="0.15">
      <c r="A83" t="s">
        <v>4</v>
      </c>
      <c r="G83" s="31"/>
    </row>
    <row r="84" spans="1:7" x14ac:dyDescent="0.15">
      <c r="A84" s="1" t="s">
        <v>1</v>
      </c>
      <c r="B84" s="1" t="s">
        <v>2</v>
      </c>
      <c r="C84" s="25" t="s">
        <v>6</v>
      </c>
      <c r="D84" s="25" t="s">
        <v>7</v>
      </c>
      <c r="E84" s="25" t="s">
        <v>8</v>
      </c>
      <c r="F84" s="25" t="s">
        <v>5</v>
      </c>
      <c r="G84" s="31"/>
    </row>
    <row r="85" spans="1:7" x14ac:dyDescent="0.15">
      <c r="A85" t="s">
        <v>3</v>
      </c>
      <c r="B85" t="s">
        <v>0</v>
      </c>
      <c r="C85" s="24">
        <v>12386304</v>
      </c>
      <c r="E85" s="27">
        <f>表9_151617182429303132333422109[[#This Row],[Core Cyc'#/Frame]]*30/1000/1000</f>
        <v>371.58911999999998</v>
      </c>
      <c r="G85" s="31"/>
    </row>
    <row r="86" spans="1:7" x14ac:dyDescent="0.15">
      <c r="B86" t="s">
        <v>9</v>
      </c>
      <c r="C86" s="24">
        <v>13860864</v>
      </c>
      <c r="E86" s="27">
        <f>表9_151617182429303132333422109[[#This Row],[Core Cyc'#/Frame]]*30/1000/1000</f>
        <v>415.82592</v>
      </c>
      <c r="G86" s="31"/>
    </row>
    <row r="87" spans="1:7" x14ac:dyDescent="0.15">
      <c r="B87" t="s">
        <v>10</v>
      </c>
      <c r="C87" s="24">
        <v>15532032</v>
      </c>
      <c r="E87" s="27">
        <f>表9_151617182429303132333422109[[#This Row],[Core Cyc'#/Frame]]*30/1000/1000</f>
        <v>465.96096</v>
      </c>
      <c r="G87" s="31"/>
    </row>
    <row r="88" spans="1:7" x14ac:dyDescent="0.15">
      <c r="B88" t="s">
        <v>9</v>
      </c>
      <c r="C88" s="24">
        <v>13959168</v>
      </c>
      <c r="E88" s="27">
        <f>表9_151617182429303132333422109[[#This Row],[Core Cyc'#/Frame]]*30/1000/1000</f>
        <v>418.77503999999999</v>
      </c>
      <c r="G88" s="31"/>
    </row>
    <row r="89" spans="1:7" x14ac:dyDescent="0.15">
      <c r="B89" t="s">
        <v>92</v>
      </c>
      <c r="C89" s="24">
        <v>15597568</v>
      </c>
      <c r="D89" s="27"/>
      <c r="E89" s="27">
        <f>表9_151617182429303132333422109[[#This Row],[Core Cyc'#/Frame]]*30/1000/1000</f>
        <v>467.92703999999998</v>
      </c>
      <c r="G89" s="31"/>
    </row>
    <row r="90" spans="1:7" x14ac:dyDescent="0.15">
      <c r="B90" t="s">
        <v>91</v>
      </c>
      <c r="C90" s="24">
        <v>13959168</v>
      </c>
      <c r="D90" s="27"/>
      <c r="E90" s="27">
        <f>表9_151617182429303132333422109[[#This Row],[Core Cyc'#/Frame]]*30/1000/1000</f>
        <v>418.77503999999999</v>
      </c>
      <c r="G90" s="31"/>
    </row>
    <row r="91" spans="1:7" x14ac:dyDescent="0.15">
      <c r="A91" s="3" t="s">
        <v>33</v>
      </c>
      <c r="B91" s="4"/>
      <c r="C91" s="26"/>
      <c r="D91" s="29"/>
      <c r="E91" s="28"/>
      <c r="F91" s="26"/>
      <c r="G91" s="31"/>
    </row>
    <row r="92" spans="1:7" x14ac:dyDescent="0.15">
      <c r="A92" t="s">
        <v>4</v>
      </c>
      <c r="G92" s="31"/>
    </row>
    <row r="93" spans="1:7" x14ac:dyDescent="0.15">
      <c r="A93" s="1" t="s">
        <v>1</v>
      </c>
      <c r="B93" s="1" t="s">
        <v>2</v>
      </c>
      <c r="C93" s="25" t="s">
        <v>6</v>
      </c>
      <c r="D93" s="25" t="s">
        <v>7</v>
      </c>
      <c r="E93" s="25" t="s">
        <v>8</v>
      </c>
      <c r="F93" s="25" t="s">
        <v>5</v>
      </c>
      <c r="G93" s="31"/>
    </row>
    <row r="94" spans="1:7" x14ac:dyDescent="0.15">
      <c r="A94" t="s">
        <v>3</v>
      </c>
      <c r="B94" t="s">
        <v>0</v>
      </c>
      <c r="C94" s="24">
        <v>12386304</v>
      </c>
      <c r="E94" s="27">
        <f>表9_15161718242930313233343523110[[#This Row],[Core Cyc'#/Frame]]*30/1000/1000</f>
        <v>371.58911999999998</v>
      </c>
      <c r="G94" s="31"/>
    </row>
    <row r="95" spans="1:7" x14ac:dyDescent="0.15">
      <c r="B95" t="s">
        <v>9</v>
      </c>
      <c r="C95" s="24">
        <v>13238272</v>
      </c>
      <c r="E95" s="27">
        <f>表9_15161718242930313233343523110[[#This Row],[Core Cyc'#/Frame]]*30/1000/1000</f>
        <v>397.14815999999996</v>
      </c>
      <c r="G95" s="31"/>
    </row>
    <row r="96" spans="1:7" x14ac:dyDescent="0.15">
      <c r="B96" t="s">
        <v>10</v>
      </c>
      <c r="C96" s="24">
        <v>13664256</v>
      </c>
      <c r="E96" s="27">
        <f>表9_15161718242930313233343523110[[#This Row],[Core Cyc'#/Frame]]*30/1000/1000</f>
        <v>409.92768000000001</v>
      </c>
      <c r="G96" s="31"/>
    </row>
    <row r="97" spans="1:7" x14ac:dyDescent="0.15">
      <c r="B97" t="s">
        <v>9</v>
      </c>
      <c r="C97" s="24">
        <v>13336576</v>
      </c>
      <c r="E97" s="27">
        <f>表9_15161718242930313233343523110[[#This Row],[Core Cyc'#/Frame]]*30/1000/1000</f>
        <v>400.09728000000001</v>
      </c>
      <c r="G97" s="31"/>
    </row>
    <row r="98" spans="1:7" x14ac:dyDescent="0.15">
      <c r="B98" t="s">
        <v>92</v>
      </c>
      <c r="C98" s="24">
        <v>13664256</v>
      </c>
      <c r="D98" s="27"/>
      <c r="E98" s="27">
        <f>表9_15161718242930313233343523110[[#This Row],[Core Cyc'#/Frame]]*30/1000/1000</f>
        <v>409.92768000000001</v>
      </c>
      <c r="G98" s="31"/>
    </row>
    <row r="99" spans="1:7" x14ac:dyDescent="0.15">
      <c r="B99" t="s">
        <v>91</v>
      </c>
      <c r="C99" s="24">
        <v>13172736</v>
      </c>
      <c r="D99" s="27"/>
      <c r="E99" s="27">
        <f>表9_15161718242930313233343523110[[#This Row],[Core Cyc'#/Frame]]*30/1000/1000</f>
        <v>395.18208000000004</v>
      </c>
      <c r="G99" s="31"/>
    </row>
    <row r="100" spans="1:7" x14ac:dyDescent="0.15">
      <c r="A100" s="3" t="s">
        <v>115</v>
      </c>
      <c r="B100" s="4"/>
      <c r="C100" s="26"/>
      <c r="D100" s="29"/>
      <c r="E100" s="28"/>
      <c r="F100" s="26"/>
      <c r="G100" s="31"/>
    </row>
    <row r="101" spans="1:7" x14ac:dyDescent="0.15">
      <c r="A101" t="s">
        <v>4</v>
      </c>
      <c r="G101" s="31"/>
    </row>
    <row r="102" spans="1:7" x14ac:dyDescent="0.15">
      <c r="A102" s="1" t="s">
        <v>1</v>
      </c>
      <c r="B102" s="1" t="s">
        <v>2</v>
      </c>
      <c r="C102" s="25" t="s">
        <v>6</v>
      </c>
      <c r="D102" s="25" t="s">
        <v>7</v>
      </c>
      <c r="E102" s="25" t="s">
        <v>8</v>
      </c>
      <c r="F102" s="25" t="s">
        <v>5</v>
      </c>
      <c r="G102" s="31"/>
    </row>
    <row r="103" spans="1:7" x14ac:dyDescent="0.15">
      <c r="A103" t="s">
        <v>3</v>
      </c>
      <c r="B103" t="s">
        <v>0</v>
      </c>
      <c r="C103" s="24">
        <v>12386304</v>
      </c>
      <c r="E103" s="27">
        <f>表9_151617182429303132333435438117[[#This Row],[Core Cyc'#/Frame]]*30/1000/1000</f>
        <v>371.58911999999998</v>
      </c>
      <c r="G103" s="31"/>
    </row>
    <row r="104" spans="1:7" x14ac:dyDescent="0.15">
      <c r="B104" t="s">
        <v>9</v>
      </c>
      <c r="C104" s="24">
        <v>13139968</v>
      </c>
      <c r="E104" s="27">
        <f>表9_151617182429303132333435438117[[#This Row],[Core Cyc'#/Frame]]*30/1000/1000</f>
        <v>394.19903999999997</v>
      </c>
      <c r="G104" s="31"/>
    </row>
    <row r="105" spans="1:7" x14ac:dyDescent="0.15">
      <c r="B105" t="s">
        <v>10</v>
      </c>
      <c r="C105" s="24">
        <v>13205504</v>
      </c>
      <c r="E105" s="27">
        <f>表9_151617182429303132333435438117[[#This Row],[Core Cyc'#/Frame]]*30/1000/1000</f>
        <v>396.16512</v>
      </c>
      <c r="G105" s="31"/>
    </row>
    <row r="106" spans="1:7" x14ac:dyDescent="0.15">
      <c r="B106" t="s">
        <v>9</v>
      </c>
      <c r="C106" s="24">
        <v>13238272</v>
      </c>
      <c r="E106" s="27">
        <f>表9_151617182429303132333435438117[[#This Row],[Core Cyc'#/Frame]]*30/1000/1000</f>
        <v>397.14815999999996</v>
      </c>
      <c r="G106" s="31"/>
    </row>
    <row r="107" spans="1:7" x14ac:dyDescent="0.15">
      <c r="B107" t="s">
        <v>10</v>
      </c>
      <c r="C107" s="24">
        <v>13205504</v>
      </c>
      <c r="E107" s="27">
        <f>表9_151617182429303132333435438117[[#This Row],[Core Cyc'#/Frame]]*30/1000/1000</f>
        <v>396.16512</v>
      </c>
      <c r="G107" s="31"/>
    </row>
    <row r="108" spans="1:7" x14ac:dyDescent="0.15">
      <c r="B108" t="s">
        <v>91</v>
      </c>
      <c r="C108" s="24">
        <v>13074432</v>
      </c>
      <c r="D108" s="27"/>
      <c r="E108" s="27">
        <f>表9_151617182429303132333435438117[[#This Row],[Core Cyc'#/Frame]]*30/1000/1000</f>
        <v>392.23296000000005</v>
      </c>
      <c r="G108" s="31"/>
    </row>
    <row r="109" spans="1:7" x14ac:dyDescent="0.15">
      <c r="A109" s="3" t="s">
        <v>116</v>
      </c>
      <c r="B109" s="4"/>
      <c r="C109" s="26"/>
      <c r="D109" s="29"/>
      <c r="E109" s="28">
        <f>表9_151617182429303132333435438117[[#This Row],[Core Cyc'#/Frame]]*30/1000/1000</f>
        <v>0</v>
      </c>
      <c r="F109" s="26"/>
      <c r="G109" s="31"/>
    </row>
    <row r="110" spans="1:7" x14ac:dyDescent="0.15">
      <c r="A110" t="s">
        <v>4</v>
      </c>
      <c r="G110" s="31"/>
    </row>
    <row r="111" spans="1:7" x14ac:dyDescent="0.15">
      <c r="A111" s="1" t="s">
        <v>1</v>
      </c>
      <c r="B111" s="1" t="s">
        <v>2</v>
      </c>
      <c r="C111" s="25" t="s">
        <v>6</v>
      </c>
      <c r="D111" s="25" t="s">
        <v>7</v>
      </c>
      <c r="E111" s="25" t="s">
        <v>8</v>
      </c>
      <c r="F111" s="25" t="s">
        <v>5</v>
      </c>
      <c r="G111" s="31"/>
    </row>
    <row r="112" spans="1:7" x14ac:dyDescent="0.15">
      <c r="A112" t="s">
        <v>3</v>
      </c>
      <c r="B112" t="s">
        <v>0</v>
      </c>
      <c r="C112" s="24">
        <v>12386304</v>
      </c>
      <c r="E112" s="27">
        <f>表9_15161718242930313233343541754121[[#This Row],[Core Cyc'#/Frame]]*30/1000/1000</f>
        <v>371.58911999999998</v>
      </c>
      <c r="G112" s="31"/>
    </row>
    <row r="113" spans="1:7" x14ac:dyDescent="0.15">
      <c r="B113" t="s">
        <v>9</v>
      </c>
      <c r="C113" s="24">
        <v>13139968</v>
      </c>
      <c r="E113" s="27">
        <f>表9_15161718242930313233343541754121[[#This Row],[Core Cyc'#/Frame]]*30/1000/1000</f>
        <v>394.19903999999997</v>
      </c>
      <c r="G113" s="31"/>
    </row>
    <row r="114" spans="1:7" x14ac:dyDescent="0.15">
      <c r="B114" t="s">
        <v>10</v>
      </c>
      <c r="C114" s="24">
        <v>13139968</v>
      </c>
      <c r="E114" s="27">
        <f>表9_15161718242930313233343541754121[[#This Row],[Core Cyc'#/Frame]]*30/1000/1000</f>
        <v>394.19903999999997</v>
      </c>
      <c r="G114" s="31"/>
    </row>
    <row r="115" spans="1:7" x14ac:dyDescent="0.15">
      <c r="B115" t="s">
        <v>9</v>
      </c>
      <c r="C115" s="24">
        <v>13205504</v>
      </c>
      <c r="E115" s="27">
        <f>表9_15161718242930313233343541754121[[#This Row],[Core Cyc'#/Frame]]*30/1000/1000</f>
        <v>396.16512</v>
      </c>
      <c r="G115" s="31"/>
    </row>
    <row r="116" spans="1:7" x14ac:dyDescent="0.15">
      <c r="B116" t="s">
        <v>10</v>
      </c>
      <c r="C116" s="24">
        <v>13139968</v>
      </c>
      <c r="E116" s="27">
        <f>表9_15161718242930313233343541754121[[#This Row],[Core Cyc'#/Frame]]*30/1000/1000</f>
        <v>394.19903999999997</v>
      </c>
      <c r="G116" s="31"/>
    </row>
    <row r="117" spans="1:7" x14ac:dyDescent="0.15">
      <c r="B117" t="s">
        <v>91</v>
      </c>
      <c r="C117" s="24">
        <v>13041664</v>
      </c>
      <c r="D117" s="27"/>
      <c r="E117" s="27">
        <f>表9_15161718242930313233343541754121[[#This Row],[Core Cyc'#/Frame]]*30/1000/1000</f>
        <v>391.24991999999997</v>
      </c>
      <c r="G117" s="31"/>
    </row>
    <row r="118" spans="1:7" ht="22.5" customHeight="1" x14ac:dyDescent="0.25">
      <c r="A118" s="99" t="s">
        <v>109</v>
      </c>
      <c r="B118" s="100"/>
      <c r="C118" s="100"/>
      <c r="D118" s="100"/>
      <c r="E118" s="100"/>
      <c r="F118" s="100"/>
      <c r="G118" s="31"/>
    </row>
    <row r="119" spans="1:7" x14ac:dyDescent="0.15">
      <c r="A119" s="7"/>
      <c r="B119" s="7"/>
      <c r="C119" s="32"/>
      <c r="D119" s="32"/>
      <c r="E119" s="32"/>
      <c r="F119" s="32"/>
      <c r="G119" s="31"/>
    </row>
    <row r="120" spans="1:7" x14ac:dyDescent="0.15">
      <c r="A120" s="3" t="s">
        <v>36</v>
      </c>
      <c r="B120" s="4"/>
      <c r="C120" s="26"/>
      <c r="D120" s="29"/>
      <c r="E120" s="28"/>
      <c r="F120" s="26"/>
      <c r="G120" s="31"/>
    </row>
    <row r="121" spans="1:7" x14ac:dyDescent="0.15">
      <c r="A121" t="s">
        <v>4</v>
      </c>
      <c r="G121" s="31"/>
    </row>
    <row r="122" spans="1:7" x14ac:dyDescent="0.15">
      <c r="A122" s="1" t="s">
        <v>1</v>
      </c>
      <c r="B122" s="1" t="s">
        <v>2</v>
      </c>
      <c r="C122" s="25" t="s">
        <v>6</v>
      </c>
      <c r="D122" s="25" t="s">
        <v>7</v>
      </c>
      <c r="E122" s="25" t="s">
        <v>8</v>
      </c>
      <c r="F122" s="25" t="s">
        <v>5</v>
      </c>
      <c r="G122" s="31"/>
    </row>
    <row r="123" spans="1:7" x14ac:dyDescent="0.15">
      <c r="A123" t="s">
        <v>3</v>
      </c>
      <c r="B123" t="s">
        <v>0</v>
      </c>
      <c r="C123" s="24">
        <v>28016640</v>
      </c>
      <c r="E123" s="27">
        <f>表9_1516171824293031323334354043543118[[#This Row],[Core Cyc'#/Frame]]*30/1000/1000</f>
        <v>840.49919999999997</v>
      </c>
      <c r="G123" s="31"/>
    </row>
    <row r="124" spans="1:7" x14ac:dyDescent="0.15">
      <c r="B124" t="s">
        <v>91</v>
      </c>
      <c r="C124" s="24">
        <v>34832384</v>
      </c>
      <c r="E124" s="27">
        <f>表9_1516171824293031323334354043543118[[#This Row],[Core Cyc'#/Frame]]*30/1000/1000</f>
        <v>1044.9715200000001</v>
      </c>
      <c r="G124" s="31"/>
    </row>
    <row r="125" spans="1:7" x14ac:dyDescent="0.15">
      <c r="A125" s="3" t="s">
        <v>37</v>
      </c>
      <c r="B125" s="4"/>
      <c r="C125" s="26"/>
      <c r="D125" s="29"/>
      <c r="E125" s="28">
        <f>表9_1516171824293031323334354043543118[[#This Row],[Core Cyc'#/Frame]]*30/1000/1000</f>
        <v>0</v>
      </c>
      <c r="F125" s="26"/>
      <c r="G125" s="31"/>
    </row>
    <row r="126" spans="1:7" x14ac:dyDescent="0.15">
      <c r="A126" t="s">
        <v>4</v>
      </c>
      <c r="G126" s="31"/>
    </row>
    <row r="127" spans="1:7" x14ac:dyDescent="0.15">
      <c r="A127" s="1" t="s">
        <v>1</v>
      </c>
      <c r="B127" s="1" t="s">
        <v>2</v>
      </c>
      <c r="C127" s="25" t="s">
        <v>6</v>
      </c>
      <c r="D127" s="25" t="s">
        <v>7</v>
      </c>
      <c r="E127" s="25" t="s">
        <v>8</v>
      </c>
      <c r="F127" s="25" t="s">
        <v>5</v>
      </c>
      <c r="G127" s="31"/>
    </row>
    <row r="128" spans="1:7" x14ac:dyDescent="0.15">
      <c r="A128" t="s">
        <v>3</v>
      </c>
      <c r="B128" t="s">
        <v>0</v>
      </c>
      <c r="C128" s="24">
        <v>19103744</v>
      </c>
      <c r="E128" s="27">
        <f>表9_1516171824293031323334354027113[[#This Row],[Core Cyc'#/Frame]]*30/1000/1000</f>
        <v>573.11231999999995</v>
      </c>
      <c r="G128" s="31"/>
    </row>
    <row r="129" spans="1:7" x14ac:dyDescent="0.15">
      <c r="B129" t="s">
        <v>9</v>
      </c>
      <c r="C129" s="24">
        <v>23756800</v>
      </c>
      <c r="E129" s="27">
        <f>表9_1516171824293031323334354027113[[#This Row],[Core Cyc'#/Frame]]*30/1000/1000</f>
        <v>712.70399999999995</v>
      </c>
      <c r="G129" s="31"/>
    </row>
    <row r="130" spans="1:7" x14ac:dyDescent="0.15">
      <c r="B130" t="s">
        <v>92</v>
      </c>
      <c r="C130" s="24">
        <v>28016640</v>
      </c>
      <c r="D130" s="27"/>
      <c r="E130" s="27">
        <f>表9_1516171824293031323334354027113[[#This Row],[Core Cyc'#/Frame]]*30/1000/1000</f>
        <v>840.49919999999997</v>
      </c>
      <c r="G130" s="31"/>
    </row>
    <row r="131" spans="1:7" x14ac:dyDescent="0.15">
      <c r="A131" s="3" t="s">
        <v>38</v>
      </c>
      <c r="B131" s="4"/>
      <c r="C131" s="26"/>
      <c r="D131" s="29"/>
      <c r="E131" s="28"/>
      <c r="F131" s="26"/>
      <c r="G131" s="31"/>
    </row>
    <row r="132" spans="1:7" x14ac:dyDescent="0.15">
      <c r="A132" t="s">
        <v>4</v>
      </c>
      <c r="G132" s="31"/>
    </row>
    <row r="133" spans="1:7" x14ac:dyDescent="0.15">
      <c r="A133" s="1" t="s">
        <v>1</v>
      </c>
      <c r="B133" s="1" t="s">
        <v>2</v>
      </c>
      <c r="C133" s="25" t="s">
        <v>6</v>
      </c>
      <c r="D133" s="25" t="s">
        <v>7</v>
      </c>
      <c r="E133" s="25" t="s">
        <v>8</v>
      </c>
      <c r="F133" s="25" t="s">
        <v>5</v>
      </c>
      <c r="G133" s="31"/>
    </row>
    <row r="134" spans="1:7" x14ac:dyDescent="0.15">
      <c r="A134" t="s">
        <v>3</v>
      </c>
      <c r="B134" t="s">
        <v>0</v>
      </c>
      <c r="C134" s="24">
        <v>14450688</v>
      </c>
      <c r="E134" s="27">
        <f>表9_151617182429303132333435404128114[[#This Row],[Core Cyc'#/Frame]]*30/1000/1000</f>
        <v>433.52064000000001</v>
      </c>
      <c r="G134" s="31"/>
    </row>
    <row r="135" spans="1:7" x14ac:dyDescent="0.15">
      <c r="B135" t="s">
        <v>9</v>
      </c>
      <c r="C135" s="24">
        <v>18612224</v>
      </c>
      <c r="E135" s="27">
        <f>表9_151617182429303132333435404128114[[#This Row],[Core Cyc'#/Frame]]*30/1000/1000</f>
        <v>558.36671999999999</v>
      </c>
      <c r="G135" s="31"/>
    </row>
    <row r="136" spans="1:7" x14ac:dyDescent="0.15">
      <c r="B136" t="s">
        <v>10</v>
      </c>
      <c r="C136" s="24">
        <v>21692416</v>
      </c>
      <c r="E136" s="27">
        <f>表9_151617182429303132333435404128114[[#This Row],[Core Cyc'#/Frame]]*30/1000/1000</f>
        <v>650.77247999999997</v>
      </c>
      <c r="G136" s="31"/>
    </row>
    <row r="137" spans="1:7" x14ac:dyDescent="0.15">
      <c r="B137" t="s">
        <v>91</v>
      </c>
      <c r="C137" s="24">
        <v>18710528</v>
      </c>
      <c r="D137" s="27"/>
      <c r="E137" s="27">
        <f>表9_151617182429303132333435404128114[[#This Row],[Core Cyc'#/Frame]]*30/1000/1000</f>
        <v>561.31583999999998</v>
      </c>
      <c r="G137" s="31"/>
    </row>
    <row r="138" spans="1:7" x14ac:dyDescent="0.15">
      <c r="D138" s="27"/>
      <c r="E138" s="27"/>
      <c r="G138" s="31"/>
    </row>
    <row r="139" spans="1:7" x14ac:dyDescent="0.15">
      <c r="A139" s="3" t="s">
        <v>118</v>
      </c>
      <c r="B139" s="4"/>
      <c r="C139" s="26"/>
      <c r="D139" s="29"/>
      <c r="E139" s="28"/>
      <c r="F139" s="26"/>
      <c r="G139" s="31"/>
    </row>
    <row r="140" spans="1:7" x14ac:dyDescent="0.15">
      <c r="A140" t="s">
        <v>4</v>
      </c>
      <c r="G140" s="31"/>
    </row>
    <row r="141" spans="1:7" x14ac:dyDescent="0.15">
      <c r="A141" s="1" t="s">
        <v>1</v>
      </c>
      <c r="B141" s="1" t="s">
        <v>2</v>
      </c>
      <c r="C141" s="25" t="s">
        <v>6</v>
      </c>
      <c r="D141" s="25" t="s">
        <v>7</v>
      </c>
      <c r="E141" s="25" t="s">
        <v>8</v>
      </c>
      <c r="F141" s="25" t="s">
        <v>5</v>
      </c>
      <c r="G141" s="31"/>
    </row>
    <row r="142" spans="1:7" x14ac:dyDescent="0.15">
      <c r="A142" t="s">
        <v>3</v>
      </c>
      <c r="B142" t="s">
        <v>0</v>
      </c>
      <c r="C142" s="24">
        <v>12386304</v>
      </c>
      <c r="E142" s="27">
        <f>表9_15161718242930313233343540414236115[[#This Row],[Core Cyc'#/Frame]]*30/1000/1000</f>
        <v>371.58911999999998</v>
      </c>
      <c r="G142" s="31"/>
    </row>
    <row r="143" spans="1:7" x14ac:dyDescent="0.15">
      <c r="B143" t="s">
        <v>9</v>
      </c>
      <c r="C143" s="24">
        <v>14254080</v>
      </c>
      <c r="E143" s="27">
        <f>表9_15161718242930313233343540414236115[[#This Row],[Core Cyc'#/Frame]]*30/1000/1000</f>
        <v>427.62240000000003</v>
      </c>
      <c r="G143" s="31"/>
    </row>
    <row r="144" spans="1:7" x14ac:dyDescent="0.15">
      <c r="B144" t="s">
        <v>10</v>
      </c>
      <c r="C144" s="24">
        <v>16121856</v>
      </c>
      <c r="D144" s="27"/>
      <c r="E144" s="27">
        <f>表9_15161718242930313233343540414236115[[#This Row],[Core Cyc'#/Frame]]*30/1000/1000</f>
        <v>483.65568000000002</v>
      </c>
      <c r="G144" s="31"/>
    </row>
    <row r="145" spans="1:7" x14ac:dyDescent="0.15">
      <c r="B145" t="s">
        <v>9</v>
      </c>
      <c r="C145" s="24">
        <v>14352384</v>
      </c>
      <c r="D145" s="27"/>
      <c r="E145" s="27">
        <f>表9_15161718242930313233343540414236115[[#This Row],[Core Cyc'#/Frame]]*30/1000/1000</f>
        <v>430.57152000000002</v>
      </c>
      <c r="G145" s="31"/>
    </row>
    <row r="146" spans="1:7" x14ac:dyDescent="0.15">
      <c r="B146" t="s">
        <v>10</v>
      </c>
      <c r="C146" s="24">
        <v>16187392</v>
      </c>
      <c r="E146" s="27">
        <f>表9_15161718242930313233343540414236115[[#This Row],[Core Cyc'#/Frame]]*30/1000/1000</f>
        <v>485.62175999999999</v>
      </c>
      <c r="G146" s="31"/>
    </row>
    <row r="147" spans="1:7" x14ac:dyDescent="0.15">
      <c r="B147" t="s">
        <v>9</v>
      </c>
      <c r="C147" s="24">
        <v>14352384</v>
      </c>
      <c r="E147" s="27">
        <f>表9_15161718242930313233343540414236115[[#This Row],[Core Cyc'#/Frame]]*30/1000/1000</f>
        <v>430.57152000000002</v>
      </c>
      <c r="G147" s="31"/>
    </row>
    <row r="148" spans="1:7" x14ac:dyDescent="0.15">
      <c r="A148" s="3" t="s">
        <v>117</v>
      </c>
      <c r="B148" s="4"/>
      <c r="C148" s="26"/>
      <c r="D148" s="29"/>
      <c r="E148" s="28"/>
      <c r="F148" s="26"/>
      <c r="G148" s="31"/>
    </row>
    <row r="149" spans="1:7" x14ac:dyDescent="0.15">
      <c r="A149" t="s">
        <v>4</v>
      </c>
      <c r="G149" s="31"/>
    </row>
    <row r="150" spans="1:7" x14ac:dyDescent="0.15">
      <c r="A150" s="1" t="s">
        <v>1</v>
      </c>
      <c r="B150" s="1" t="s">
        <v>2</v>
      </c>
      <c r="C150" s="25" t="s">
        <v>6</v>
      </c>
      <c r="D150" s="25" t="s">
        <v>7</v>
      </c>
      <c r="E150" s="25" t="s">
        <v>8</v>
      </c>
      <c r="F150" s="25" t="s">
        <v>5</v>
      </c>
      <c r="G150" s="31"/>
    </row>
    <row r="151" spans="1:7" x14ac:dyDescent="0.15">
      <c r="A151" t="s">
        <v>3</v>
      </c>
      <c r="B151" t="s">
        <v>0</v>
      </c>
      <c r="C151" s="24">
        <v>12386304</v>
      </c>
      <c r="E151" s="27">
        <f>表9_151617182429303132333435404142644119[[#This Row],[Core Cyc'#/Frame]]*30/1000/1000</f>
        <v>371.58911999999998</v>
      </c>
      <c r="G151" s="31"/>
    </row>
    <row r="152" spans="1:7" x14ac:dyDescent="0.15">
      <c r="B152" t="s">
        <v>9</v>
      </c>
      <c r="C152" s="24">
        <v>13271040</v>
      </c>
      <c r="E152" s="27">
        <f>表9_151617182429303132333435404142644119[[#This Row],[Core Cyc'#/Frame]]*30/1000/1000</f>
        <v>398.13120000000004</v>
      </c>
      <c r="G152" s="31"/>
    </row>
    <row r="153" spans="1:7" x14ac:dyDescent="0.15">
      <c r="B153" t="s">
        <v>10</v>
      </c>
      <c r="C153" s="24">
        <v>13926400</v>
      </c>
      <c r="E153" s="27">
        <f>表9_151617182429303132333435404142644119[[#This Row],[Core Cyc'#/Frame]]*30/1000/1000</f>
        <v>417.79199999999997</v>
      </c>
      <c r="G153" s="31"/>
    </row>
    <row r="154" spans="1:7" x14ac:dyDescent="0.15">
      <c r="B154" t="s">
        <v>9</v>
      </c>
      <c r="C154" s="24">
        <v>13369344</v>
      </c>
      <c r="E154" s="27">
        <f>表9_151617182429303132333435404142644119[[#This Row],[Core Cyc'#/Frame]]*30/1000/1000</f>
        <v>401.08032000000003</v>
      </c>
      <c r="G154" s="31"/>
    </row>
    <row r="155" spans="1:7" x14ac:dyDescent="0.15">
      <c r="B155" t="s">
        <v>10</v>
      </c>
      <c r="C155" s="24">
        <v>13991936</v>
      </c>
      <c r="E155" s="27">
        <f>表9_151617182429303132333435404142644119[[#This Row],[Core Cyc'#/Frame]]*30/1000/1000</f>
        <v>419.75808000000001</v>
      </c>
      <c r="G155" s="31"/>
    </row>
    <row r="156" spans="1:7" x14ac:dyDescent="0.15">
      <c r="B156" t="s">
        <v>111</v>
      </c>
      <c r="C156" s="24">
        <v>13205504</v>
      </c>
      <c r="D156" s="27"/>
      <c r="E156" s="27">
        <f>表9_151617182429303132333435404142644119[[#This Row],[Core Cyc'#/Frame]]*30/1000/1000</f>
        <v>396.16512</v>
      </c>
      <c r="G156" s="31"/>
    </row>
    <row r="157" spans="1:7" x14ac:dyDescent="0.15">
      <c r="A157" s="3" t="s">
        <v>41</v>
      </c>
      <c r="B157" s="4"/>
      <c r="C157" s="26"/>
      <c r="D157" s="29"/>
      <c r="E157" s="28">
        <f>表9_151617182429303132333435404142644119[[#This Row],[Core Cyc'#/Frame]]*30/1000/1000</f>
        <v>0</v>
      </c>
      <c r="F157" s="26"/>
      <c r="G157" s="31"/>
    </row>
    <row r="158" spans="1:7" x14ac:dyDescent="0.15">
      <c r="A158" t="s">
        <v>4</v>
      </c>
      <c r="G158" s="31"/>
    </row>
    <row r="159" spans="1:7" x14ac:dyDescent="0.15">
      <c r="A159" s="1" t="s">
        <v>1</v>
      </c>
      <c r="B159" s="1" t="s">
        <v>2</v>
      </c>
      <c r="C159" s="25" t="s">
        <v>6</v>
      </c>
      <c r="D159" s="25" t="s">
        <v>7</v>
      </c>
      <c r="E159" s="25" t="s">
        <v>8</v>
      </c>
      <c r="F159" s="25" t="s">
        <v>5</v>
      </c>
      <c r="G159" s="31"/>
    </row>
    <row r="160" spans="1:7" x14ac:dyDescent="0.15">
      <c r="A160" t="s">
        <v>3</v>
      </c>
      <c r="B160" t="s">
        <v>0</v>
      </c>
      <c r="C160" s="24">
        <v>12386304</v>
      </c>
      <c r="E160" s="27">
        <f>表9_15161718242930313233343540414261855122[[#This Row],[Core Cyc'#/Frame]]*30/1000/1000</f>
        <v>371.58911999999998</v>
      </c>
      <c r="G160" s="31"/>
    </row>
    <row r="161" spans="1:7" x14ac:dyDescent="0.15">
      <c r="B161" t="s">
        <v>9</v>
      </c>
      <c r="C161" s="24">
        <v>13172736</v>
      </c>
      <c r="E161" s="27">
        <f>表9_15161718242930313233343540414261855122[[#This Row],[Core Cyc'#/Frame]]*30/1000/1000</f>
        <v>395.18208000000004</v>
      </c>
      <c r="G161" s="31"/>
    </row>
    <row r="162" spans="1:7" x14ac:dyDescent="0.15">
      <c r="B162" t="s">
        <v>10</v>
      </c>
      <c r="C162" s="24">
        <v>13303808</v>
      </c>
      <c r="E162" s="27">
        <f>表9_15161718242930313233343540414261855122[[#This Row],[Core Cyc'#/Frame]]*30/1000/1000</f>
        <v>399.11424</v>
      </c>
      <c r="G162" s="31"/>
    </row>
    <row r="163" spans="1:7" x14ac:dyDescent="0.15">
      <c r="B163" t="s">
        <v>9</v>
      </c>
      <c r="C163" s="24">
        <v>13271040</v>
      </c>
      <c r="E163" s="27">
        <f>表9_15161718242930313233343540414261855122[[#This Row],[Core Cyc'#/Frame]]*30/1000/1000</f>
        <v>398.13120000000004</v>
      </c>
      <c r="G163" s="31"/>
    </row>
    <row r="164" spans="1:7" x14ac:dyDescent="0.15">
      <c r="B164" t="s">
        <v>10</v>
      </c>
      <c r="C164" s="24">
        <v>13303808</v>
      </c>
      <c r="E164" s="27">
        <f>表9_15161718242930313233343540414261855122[[#This Row],[Core Cyc'#/Frame]]*30/1000/1000</f>
        <v>399.11424</v>
      </c>
      <c r="G164" s="31"/>
    </row>
    <row r="165" spans="1:7" x14ac:dyDescent="0.15">
      <c r="B165" t="s">
        <v>111</v>
      </c>
      <c r="C165" s="24">
        <v>13074432</v>
      </c>
      <c r="D165" s="27"/>
      <c r="E165" s="27">
        <f>表9_15161718242930313233343540414261855122[[#This Row],[Core Cyc'#/Frame]]*30/1000/1000</f>
        <v>392.23296000000005</v>
      </c>
      <c r="G165" s="31"/>
    </row>
    <row r="166" spans="1:7" x14ac:dyDescent="0.15">
      <c r="A166" s="3" t="s">
        <v>120</v>
      </c>
      <c r="B166" s="4"/>
      <c r="C166" s="26"/>
      <c r="D166" s="29"/>
      <c r="E166" s="28"/>
      <c r="F166" s="26"/>
      <c r="G166" s="31"/>
    </row>
    <row r="167" spans="1:7" x14ac:dyDescent="0.15">
      <c r="A167" t="s">
        <v>4</v>
      </c>
      <c r="G167" s="31"/>
    </row>
    <row r="168" spans="1:7" x14ac:dyDescent="0.15">
      <c r="A168" s="1" t="s">
        <v>1</v>
      </c>
      <c r="B168" s="1" t="s">
        <v>2</v>
      </c>
      <c r="C168" s="25" t="s">
        <v>6</v>
      </c>
      <c r="D168" s="25" t="s">
        <v>7</v>
      </c>
      <c r="E168" s="25" t="s">
        <v>8</v>
      </c>
      <c r="F168" s="25" t="s">
        <v>5</v>
      </c>
      <c r="G168" s="31"/>
    </row>
    <row r="169" spans="1:7" x14ac:dyDescent="0.15">
      <c r="A169" t="s">
        <v>3</v>
      </c>
      <c r="B169" t="s">
        <v>0</v>
      </c>
      <c r="C169" s="24">
        <v>12386304</v>
      </c>
      <c r="E169" s="27">
        <f>表9_15161718242930313233343540414261855122129[[#This Row],[Core Cyc'#/Frame]]*30/1000/1000</f>
        <v>371.58911999999998</v>
      </c>
      <c r="G169" s="31"/>
    </row>
    <row r="170" spans="1:7" x14ac:dyDescent="0.15">
      <c r="B170" t="s">
        <v>9</v>
      </c>
      <c r="C170" s="24">
        <v>13139968</v>
      </c>
      <c r="E170" s="27">
        <f>表9_15161718242930313233343540414261855122129[[#This Row],[Core Cyc'#/Frame]]*30/1000/1000</f>
        <v>394.19903999999997</v>
      </c>
      <c r="G170" s="31"/>
    </row>
    <row r="171" spans="1:7" x14ac:dyDescent="0.15">
      <c r="B171" t="s">
        <v>10</v>
      </c>
      <c r="C171" s="24">
        <v>13172736</v>
      </c>
      <c r="E171" s="27">
        <f>表9_15161718242930313233343540414261855122129[[#This Row],[Core Cyc'#/Frame]]*30/1000/1000</f>
        <v>395.18208000000004</v>
      </c>
      <c r="G171" s="31"/>
    </row>
    <row r="172" spans="1:7" x14ac:dyDescent="0.15">
      <c r="B172" t="s">
        <v>9</v>
      </c>
      <c r="C172" s="24">
        <v>13205504</v>
      </c>
      <c r="E172" s="27">
        <f>表9_15161718242930313233343540414261855122129[[#This Row],[Core Cyc'#/Frame]]*30/1000/1000</f>
        <v>396.16512</v>
      </c>
      <c r="G172" s="31"/>
    </row>
    <row r="173" spans="1:7" x14ac:dyDescent="0.15">
      <c r="B173" t="s">
        <v>10</v>
      </c>
      <c r="C173" s="24">
        <v>13172736</v>
      </c>
      <c r="E173" s="27">
        <f>表9_15161718242930313233343540414261855122129[[#This Row],[Core Cyc'#/Frame]]*30/1000/1000</f>
        <v>395.18208000000004</v>
      </c>
      <c r="G173" s="31"/>
    </row>
    <row r="174" spans="1:7" x14ac:dyDescent="0.15">
      <c r="B174" t="s">
        <v>111</v>
      </c>
      <c r="C174" s="24">
        <v>13041664</v>
      </c>
      <c r="D174" s="27"/>
      <c r="E174" s="27">
        <f>表9_15161718242930313233343540414261855122129[[#This Row],[Core Cyc'#/Frame]]*30/1000/1000</f>
        <v>391.24991999999997</v>
      </c>
      <c r="G174" s="31"/>
    </row>
    <row r="175" spans="1:7" x14ac:dyDescent="0.15">
      <c r="D175" s="27"/>
      <c r="E175" s="27"/>
      <c r="G175" s="31"/>
    </row>
    <row r="176" spans="1:7" ht="20.25" x14ac:dyDescent="0.25">
      <c r="A176" s="99" t="s">
        <v>121</v>
      </c>
      <c r="B176" s="100"/>
      <c r="C176" s="100"/>
      <c r="D176" s="100"/>
      <c r="E176" s="100"/>
      <c r="F176" s="100"/>
      <c r="G176" s="31"/>
    </row>
    <row r="177" spans="1:7" x14ac:dyDescent="0.15">
      <c r="A177" s="3" t="s">
        <v>36</v>
      </c>
      <c r="B177" s="4"/>
      <c r="C177" s="26"/>
      <c r="D177" s="29"/>
      <c r="E177" s="28"/>
      <c r="F177" s="26"/>
      <c r="G177" s="31"/>
    </row>
    <row r="178" spans="1:7" x14ac:dyDescent="0.15">
      <c r="A178" t="s">
        <v>4</v>
      </c>
      <c r="G178" s="31"/>
    </row>
    <row r="179" spans="1:7" x14ac:dyDescent="0.15">
      <c r="A179" s="1" t="s">
        <v>1</v>
      </c>
      <c r="B179" s="1" t="s">
        <v>2</v>
      </c>
      <c r="C179" s="25" t="s">
        <v>6</v>
      </c>
      <c r="D179" s="25" t="s">
        <v>7</v>
      </c>
      <c r="E179" s="25" t="s">
        <v>8</v>
      </c>
      <c r="F179" s="25" t="s">
        <v>5</v>
      </c>
      <c r="G179" s="31"/>
    </row>
    <row r="180" spans="1:7" x14ac:dyDescent="0.15">
      <c r="A180" t="s">
        <v>3</v>
      </c>
      <c r="B180" t="s">
        <v>0</v>
      </c>
      <c r="C180" s="24">
        <v>20840448</v>
      </c>
      <c r="E180" s="27">
        <f>表9_1516171824293031323334354043543118153[[#This Row],[Core Cyc'#/Frame]]*30/1000/1000</f>
        <v>625.21343999999999</v>
      </c>
      <c r="G180" s="31"/>
    </row>
    <row r="181" spans="1:7" x14ac:dyDescent="0.15">
      <c r="B181" t="s">
        <v>91</v>
      </c>
      <c r="C181" s="24">
        <v>26345472</v>
      </c>
      <c r="E181" s="27">
        <f>表9_1516171824293031323334354043543118153[[#This Row],[Core Cyc'#/Frame]]*30/1000/1000</f>
        <v>790.36416000000008</v>
      </c>
      <c r="G181" s="31"/>
    </row>
    <row r="182" spans="1:7" x14ac:dyDescent="0.15">
      <c r="B182" t="s">
        <v>110</v>
      </c>
      <c r="C182" s="24">
        <v>31686656</v>
      </c>
      <c r="D182" s="27"/>
      <c r="E182" s="27">
        <f>表9_1516171824293031323334354043543118153[[#This Row],[Core Cyc'#/Frame]]*30/1000/1000</f>
        <v>950.59968000000003</v>
      </c>
      <c r="G182" s="31"/>
    </row>
    <row r="183" spans="1:7" x14ac:dyDescent="0.15">
      <c r="A183" s="3" t="s">
        <v>37</v>
      </c>
      <c r="B183" s="4"/>
      <c r="C183" s="26"/>
      <c r="D183" s="29"/>
      <c r="E183" s="28">
        <f>表9_1516171824293031323334354043543118153[[#This Row],[Core Cyc'#/Frame]]*30/1000/1000</f>
        <v>0</v>
      </c>
      <c r="F183" s="26"/>
      <c r="G183" s="31"/>
    </row>
    <row r="184" spans="1:7" x14ac:dyDescent="0.15">
      <c r="A184" t="s">
        <v>4</v>
      </c>
      <c r="G184" s="31"/>
    </row>
    <row r="185" spans="1:7" x14ac:dyDescent="0.15">
      <c r="A185" s="1" t="s">
        <v>1</v>
      </c>
      <c r="B185" s="1" t="s">
        <v>2</v>
      </c>
      <c r="C185" s="25" t="s">
        <v>6</v>
      </c>
      <c r="D185" s="25" t="s">
        <v>7</v>
      </c>
      <c r="E185" s="25" t="s">
        <v>8</v>
      </c>
      <c r="F185" s="25" t="s">
        <v>5</v>
      </c>
      <c r="G185" s="31"/>
    </row>
    <row r="186" spans="1:7" x14ac:dyDescent="0.15">
      <c r="A186" t="s">
        <v>3</v>
      </c>
      <c r="B186" t="s">
        <v>0</v>
      </c>
      <c r="C186" s="24">
        <v>14188544</v>
      </c>
      <c r="E186" s="27">
        <f>表9_1516171824293031323334354027113150[[#This Row],[Core Cyc'#/Frame]]*30/1000/1000</f>
        <v>425.65631999999999</v>
      </c>
      <c r="G186" s="31"/>
    </row>
    <row r="187" spans="1:7" x14ac:dyDescent="0.15">
      <c r="B187" t="s">
        <v>9</v>
      </c>
      <c r="C187" s="24">
        <v>18612224</v>
      </c>
      <c r="E187" s="27">
        <f>表9_1516171824293031323334354027113150[[#This Row],[Core Cyc'#/Frame]]*30/1000/1000</f>
        <v>558.36671999999999</v>
      </c>
      <c r="G187" s="31"/>
    </row>
    <row r="188" spans="1:7" x14ac:dyDescent="0.15">
      <c r="B188" t="s">
        <v>92</v>
      </c>
      <c r="C188" s="24">
        <v>22020096</v>
      </c>
      <c r="D188" s="27"/>
      <c r="E188" s="27">
        <f>表9_1516171824293031323334354027113150[[#This Row],[Core Cyc'#/Frame]]*30/1000/1000</f>
        <v>660.60288000000003</v>
      </c>
      <c r="G188" s="31"/>
    </row>
    <row r="189" spans="1:7" x14ac:dyDescent="0.15">
      <c r="B189" t="s">
        <v>111</v>
      </c>
      <c r="C189" s="24">
        <v>18710528</v>
      </c>
      <c r="D189" s="27"/>
      <c r="E189" s="27">
        <f>表9_1516171824293031323334354027113150[[#This Row],[Core Cyc'#/Frame]]*30/1000/1000</f>
        <v>561.31583999999998</v>
      </c>
      <c r="G189" s="31"/>
    </row>
    <row r="190" spans="1:7" x14ac:dyDescent="0.15">
      <c r="D190" s="27"/>
      <c r="E190" s="27"/>
      <c r="G190" s="31"/>
    </row>
    <row r="191" spans="1:7" x14ac:dyDescent="0.15">
      <c r="A191" s="3" t="s">
        <v>38</v>
      </c>
      <c r="B191" s="4"/>
      <c r="C191" s="26"/>
      <c r="D191" s="29"/>
      <c r="E191" s="28"/>
      <c r="F191" s="26"/>
      <c r="G191" s="31"/>
    </row>
    <row r="192" spans="1:7" x14ac:dyDescent="0.15">
      <c r="A192" t="s">
        <v>4</v>
      </c>
      <c r="G192" s="31"/>
    </row>
    <row r="193" spans="1:7" x14ac:dyDescent="0.15">
      <c r="A193" s="1" t="s">
        <v>1</v>
      </c>
      <c r="B193" s="1" t="s">
        <v>2</v>
      </c>
      <c r="C193" s="25" t="s">
        <v>6</v>
      </c>
      <c r="D193" s="25" t="s">
        <v>7</v>
      </c>
      <c r="E193" s="25" t="s">
        <v>8</v>
      </c>
      <c r="F193" s="25" t="s">
        <v>5</v>
      </c>
      <c r="G193" s="31"/>
    </row>
    <row r="194" spans="1:7" x14ac:dyDescent="0.15">
      <c r="A194" t="s">
        <v>3</v>
      </c>
      <c r="B194" t="s">
        <v>0</v>
      </c>
      <c r="C194" s="24">
        <v>12419072</v>
      </c>
      <c r="E194" s="27">
        <f>表9_151617182429303132333435404128114151[[#This Row],[Core Cyc'#/Frame]]*30/1000/1000</f>
        <v>372.57216</v>
      </c>
      <c r="G194" s="31"/>
    </row>
    <row r="195" spans="1:7" x14ac:dyDescent="0.15">
      <c r="B195" t="s">
        <v>9</v>
      </c>
      <c r="C195" s="24">
        <v>15138816</v>
      </c>
      <c r="E195" s="27">
        <f>表9_151617182429303132333435404128114151[[#This Row],[Core Cyc'#/Frame]]*30/1000/1000</f>
        <v>454.16447999999997</v>
      </c>
      <c r="G195" s="31"/>
    </row>
    <row r="196" spans="1:7" x14ac:dyDescent="0.15">
      <c r="B196" t="s">
        <v>10</v>
      </c>
      <c r="C196" s="24">
        <v>17530880</v>
      </c>
      <c r="E196" s="27">
        <f>表9_151617182429303132333435404128114151[[#This Row],[Core Cyc'#/Frame]]*30/1000/1000</f>
        <v>525.92640000000006</v>
      </c>
      <c r="G196" s="31"/>
    </row>
    <row r="197" spans="1:7" x14ac:dyDescent="0.15">
      <c r="B197" t="s">
        <v>91</v>
      </c>
      <c r="C197" s="24">
        <v>15237120</v>
      </c>
      <c r="D197" s="27"/>
      <c r="E197" s="27">
        <f>表9_151617182429303132333435404128114151[[#This Row],[Core Cyc'#/Frame]]*30/1000/1000</f>
        <v>457.11359999999996</v>
      </c>
      <c r="G197" s="31"/>
    </row>
    <row r="198" spans="1:7" x14ac:dyDescent="0.15">
      <c r="B198" t="s">
        <v>110</v>
      </c>
      <c r="C198" s="24">
        <v>17629184</v>
      </c>
      <c r="D198" s="27"/>
      <c r="E198" s="27">
        <f>表9_151617182429303132333435404128114151[[#This Row],[Core Cyc'#/Frame]]*30/1000/1000</f>
        <v>528.87552000000005</v>
      </c>
      <c r="G198" s="31"/>
    </row>
    <row r="199" spans="1:7" x14ac:dyDescent="0.15">
      <c r="D199" s="27"/>
      <c r="E199" s="27"/>
      <c r="G199" s="31"/>
    </row>
    <row r="200" spans="1:7" x14ac:dyDescent="0.15">
      <c r="D200" s="27"/>
      <c r="E200" s="27"/>
      <c r="G200" s="31"/>
    </row>
    <row r="201" spans="1:7" x14ac:dyDescent="0.15">
      <c r="A201" s="3" t="s">
        <v>118</v>
      </c>
      <c r="B201" s="4"/>
      <c r="C201" s="26"/>
      <c r="D201" s="29"/>
      <c r="E201" s="28"/>
      <c r="F201" s="26"/>
      <c r="G201" s="31"/>
    </row>
    <row r="202" spans="1:7" x14ac:dyDescent="0.15">
      <c r="A202" t="s">
        <v>4</v>
      </c>
      <c r="G202" s="31"/>
    </row>
    <row r="203" spans="1:7" x14ac:dyDescent="0.15">
      <c r="A203" s="1" t="s">
        <v>1</v>
      </c>
      <c r="B203" s="1" t="s">
        <v>2</v>
      </c>
      <c r="C203" s="25" t="s">
        <v>6</v>
      </c>
      <c r="D203" s="25" t="s">
        <v>7</v>
      </c>
      <c r="E203" s="25" t="s">
        <v>8</v>
      </c>
      <c r="F203" s="25" t="s">
        <v>5</v>
      </c>
      <c r="G203" s="31"/>
    </row>
    <row r="204" spans="1:7" x14ac:dyDescent="0.15">
      <c r="A204" t="s">
        <v>3</v>
      </c>
      <c r="B204" t="s">
        <v>0</v>
      </c>
      <c r="C204" s="24">
        <v>12386304</v>
      </c>
      <c r="E204" s="27">
        <f>表9_15161718242930313233343540414236115152[[#This Row],[Core Cyc'#/Frame]]*30/1000/1000</f>
        <v>371.58911999999998</v>
      </c>
      <c r="G204" s="31"/>
    </row>
    <row r="205" spans="1:7" x14ac:dyDescent="0.15">
      <c r="B205" t="s">
        <v>9</v>
      </c>
      <c r="C205" s="24">
        <v>13271040</v>
      </c>
      <c r="E205" s="27">
        <f>表9_15161718242930313233343540414236115152[[#This Row],[Core Cyc'#/Frame]]*30/1000/1000</f>
        <v>398.13120000000004</v>
      </c>
      <c r="G205" s="31"/>
    </row>
    <row r="206" spans="1:7" x14ac:dyDescent="0.15">
      <c r="B206" t="s">
        <v>10</v>
      </c>
      <c r="C206" s="24">
        <v>13959168</v>
      </c>
      <c r="D206" s="27"/>
      <c r="E206" s="27">
        <f>表9_15161718242930313233343540414236115152[[#This Row],[Core Cyc'#/Frame]]*30/1000/1000</f>
        <v>418.77503999999999</v>
      </c>
      <c r="G206" s="31"/>
    </row>
    <row r="207" spans="1:7" x14ac:dyDescent="0.15">
      <c r="B207" t="s">
        <v>9</v>
      </c>
      <c r="C207" s="24">
        <v>13369344</v>
      </c>
      <c r="D207" s="27"/>
      <c r="E207" s="27">
        <f>表9_15161718242930313233343540414236115152[[#This Row],[Core Cyc'#/Frame]]*30/1000/1000</f>
        <v>401.08032000000003</v>
      </c>
      <c r="G207" s="31"/>
    </row>
    <row r="208" spans="1:7" x14ac:dyDescent="0.15">
      <c r="B208" t="s">
        <v>10</v>
      </c>
      <c r="C208" s="24">
        <v>13991936</v>
      </c>
      <c r="E208" s="27">
        <f>表9_15161718242930313233343540414236115152[[#This Row],[Core Cyc'#/Frame]]*30/1000/1000</f>
        <v>419.75808000000001</v>
      </c>
      <c r="G208" s="31"/>
    </row>
    <row r="209" spans="1:7" x14ac:dyDescent="0.15">
      <c r="B209" t="s">
        <v>9</v>
      </c>
      <c r="C209" s="24">
        <v>13238272</v>
      </c>
      <c r="E209" s="27">
        <f>表9_15161718242930313233343540414236115152[[#This Row],[Core Cyc'#/Frame]]*30/1000/1000</f>
        <v>397.14815999999996</v>
      </c>
      <c r="G209" s="31"/>
    </row>
    <row r="210" spans="1:7" x14ac:dyDescent="0.15">
      <c r="A210" s="3" t="s">
        <v>117</v>
      </c>
      <c r="B210" s="4"/>
      <c r="C210" s="26"/>
      <c r="D210" s="29"/>
      <c r="E210" s="28"/>
      <c r="F210" s="26"/>
      <c r="G210" s="31"/>
    </row>
    <row r="211" spans="1:7" x14ac:dyDescent="0.15">
      <c r="A211" t="s">
        <v>4</v>
      </c>
      <c r="G211" s="31"/>
    </row>
    <row r="212" spans="1:7" x14ac:dyDescent="0.15">
      <c r="A212" s="1" t="s">
        <v>1</v>
      </c>
      <c r="B212" s="1" t="s">
        <v>2</v>
      </c>
      <c r="C212" s="25" t="s">
        <v>6</v>
      </c>
      <c r="D212" s="25" t="s">
        <v>7</v>
      </c>
      <c r="E212" s="25" t="s">
        <v>8</v>
      </c>
      <c r="F212" s="25" t="s">
        <v>5</v>
      </c>
      <c r="G212" s="31"/>
    </row>
    <row r="213" spans="1:7" x14ac:dyDescent="0.15">
      <c r="A213" t="s">
        <v>3</v>
      </c>
      <c r="B213" t="s">
        <v>0</v>
      </c>
      <c r="C213" s="24">
        <v>12386304</v>
      </c>
      <c r="E213" s="27">
        <f>表9_151617182429303132333435404142644119154[[#This Row],[Core Cyc'#/Frame]]*30/1000/1000</f>
        <v>371.58911999999998</v>
      </c>
      <c r="G213" s="31"/>
    </row>
    <row r="214" spans="1:7" x14ac:dyDescent="0.15">
      <c r="B214" t="s">
        <v>9</v>
      </c>
      <c r="C214" s="24">
        <v>13172736</v>
      </c>
      <c r="E214" s="27">
        <f>表9_151617182429303132333435404142644119154[[#This Row],[Core Cyc'#/Frame]]*30/1000/1000</f>
        <v>395.18208000000004</v>
      </c>
      <c r="G214" s="31"/>
    </row>
    <row r="215" spans="1:7" x14ac:dyDescent="0.15">
      <c r="B215" t="s">
        <v>10</v>
      </c>
      <c r="C215" s="24">
        <v>13205504</v>
      </c>
      <c r="E215" s="27">
        <f>表9_151617182429303132333435404142644119154[[#This Row],[Core Cyc'#/Frame]]*30/1000/1000</f>
        <v>396.16512</v>
      </c>
      <c r="G215" s="31"/>
    </row>
    <row r="216" spans="1:7" x14ac:dyDescent="0.15">
      <c r="B216" t="s">
        <v>9</v>
      </c>
      <c r="C216" s="24">
        <v>13238272</v>
      </c>
      <c r="E216" s="27">
        <f>表9_151617182429303132333435404142644119154[[#This Row],[Core Cyc'#/Frame]]*30/1000/1000</f>
        <v>397.14815999999996</v>
      </c>
      <c r="G216" s="31"/>
    </row>
    <row r="217" spans="1:7" x14ac:dyDescent="0.15">
      <c r="B217" t="s">
        <v>10</v>
      </c>
      <c r="C217" s="24">
        <v>13238272</v>
      </c>
      <c r="E217" s="27">
        <f>表9_151617182429303132333435404142644119154[[#This Row],[Core Cyc'#/Frame]]*30/1000/1000</f>
        <v>397.14815999999996</v>
      </c>
      <c r="G217" s="31"/>
    </row>
    <row r="218" spans="1:7" x14ac:dyDescent="0.15">
      <c r="B218" t="s">
        <v>111</v>
      </c>
      <c r="C218" s="24">
        <v>13074432</v>
      </c>
      <c r="D218" s="27"/>
      <c r="E218" s="27">
        <f>表9_151617182429303132333435404142644119154[[#This Row],[Core Cyc'#/Frame]]*30/1000/1000</f>
        <v>392.23296000000005</v>
      </c>
      <c r="G218" s="31"/>
    </row>
    <row r="219" spans="1:7" x14ac:dyDescent="0.15">
      <c r="A219" s="3" t="s">
        <v>41</v>
      </c>
      <c r="B219" s="4"/>
      <c r="C219" s="26"/>
      <c r="D219" s="29"/>
      <c r="E219" s="28">
        <f>表9_151617182429303132333435404142644119154[[#This Row],[Core Cyc'#/Frame]]*30/1000/1000</f>
        <v>0</v>
      </c>
      <c r="F219" s="26"/>
      <c r="G219" s="31"/>
    </row>
    <row r="220" spans="1:7" x14ac:dyDescent="0.15">
      <c r="A220" t="s">
        <v>4</v>
      </c>
      <c r="G220" s="31"/>
    </row>
    <row r="221" spans="1:7" x14ac:dyDescent="0.15">
      <c r="A221" s="1" t="s">
        <v>1</v>
      </c>
      <c r="B221" s="1" t="s">
        <v>2</v>
      </c>
      <c r="C221" s="25" t="s">
        <v>6</v>
      </c>
      <c r="D221" s="25" t="s">
        <v>7</v>
      </c>
      <c r="E221" s="25" t="s">
        <v>8</v>
      </c>
      <c r="F221" s="25" t="s">
        <v>5</v>
      </c>
      <c r="G221" s="31"/>
    </row>
    <row r="222" spans="1:7" x14ac:dyDescent="0.15">
      <c r="A222" t="s">
        <v>3</v>
      </c>
      <c r="B222" t="s">
        <v>0</v>
      </c>
      <c r="C222" s="24">
        <v>12386304</v>
      </c>
      <c r="E222" s="27">
        <f>表9_15161718242930313233343540414261855122155[[#This Row],[Core Cyc'#/Frame]]*30/1000/1000</f>
        <v>371.58911999999998</v>
      </c>
      <c r="G222" s="31"/>
    </row>
    <row r="223" spans="1:7" x14ac:dyDescent="0.15">
      <c r="B223" t="s">
        <v>9</v>
      </c>
      <c r="C223" s="24">
        <v>13139968</v>
      </c>
      <c r="E223" s="27">
        <f>表9_15161718242930313233343540414261855122155[[#This Row],[Core Cyc'#/Frame]]*30/1000/1000</f>
        <v>394.19903999999997</v>
      </c>
      <c r="G223" s="31"/>
    </row>
    <row r="224" spans="1:7" x14ac:dyDescent="0.15">
      <c r="B224" t="s">
        <v>10</v>
      </c>
      <c r="C224" s="24">
        <v>13139968</v>
      </c>
      <c r="E224" s="27">
        <f>表9_15161718242930313233343540414261855122155[[#This Row],[Core Cyc'#/Frame]]*30/1000/1000</f>
        <v>394.19903999999997</v>
      </c>
      <c r="G224" s="31"/>
    </row>
    <row r="225" spans="1:7" x14ac:dyDescent="0.15">
      <c r="B225" t="s">
        <v>9</v>
      </c>
      <c r="C225" s="24">
        <v>13205504</v>
      </c>
      <c r="E225" s="27">
        <f>表9_15161718242930313233343540414261855122155[[#This Row],[Core Cyc'#/Frame]]*30/1000/1000</f>
        <v>396.16512</v>
      </c>
      <c r="G225" s="31"/>
    </row>
    <row r="226" spans="1:7" x14ac:dyDescent="0.15">
      <c r="B226" t="s">
        <v>10</v>
      </c>
      <c r="C226" s="24">
        <v>13139968</v>
      </c>
      <c r="E226" s="27">
        <f>表9_15161718242930313233343540414261855122155[[#This Row],[Core Cyc'#/Frame]]*30/1000/1000</f>
        <v>394.19903999999997</v>
      </c>
      <c r="G226" s="31"/>
    </row>
    <row r="227" spans="1:7" x14ac:dyDescent="0.15">
      <c r="B227" t="s">
        <v>111</v>
      </c>
      <c r="C227" s="24">
        <v>13041664</v>
      </c>
      <c r="D227" s="27"/>
      <c r="E227" s="27">
        <f>表9_15161718242930313233343540414261855122155[[#This Row],[Core Cyc'#/Frame]]*30/1000/1000</f>
        <v>391.24991999999997</v>
      </c>
      <c r="G227" s="31"/>
    </row>
    <row r="228" spans="1:7" x14ac:dyDescent="0.15">
      <c r="A228" s="3" t="s">
        <v>120</v>
      </c>
      <c r="B228" s="4"/>
      <c r="C228" s="26"/>
      <c r="D228" s="29"/>
      <c r="E228" s="28"/>
      <c r="F228" s="26"/>
      <c r="G228" s="31"/>
    </row>
    <row r="229" spans="1:7" x14ac:dyDescent="0.15">
      <c r="A229" t="s">
        <v>4</v>
      </c>
      <c r="G229" s="31"/>
    </row>
    <row r="230" spans="1:7" x14ac:dyDescent="0.15">
      <c r="A230" s="1" t="s">
        <v>1</v>
      </c>
      <c r="B230" s="1" t="s">
        <v>2</v>
      </c>
      <c r="C230" s="25" t="s">
        <v>6</v>
      </c>
      <c r="D230" s="25" t="s">
        <v>7</v>
      </c>
      <c r="E230" s="25" t="s">
        <v>8</v>
      </c>
      <c r="F230" s="25" t="s">
        <v>5</v>
      </c>
      <c r="G230" s="31"/>
    </row>
    <row r="231" spans="1:7" x14ac:dyDescent="0.15">
      <c r="A231" t="s">
        <v>3</v>
      </c>
      <c r="B231" t="s">
        <v>0</v>
      </c>
      <c r="C231" s="24">
        <v>12386304</v>
      </c>
      <c r="E231" s="27">
        <f>表9_15161718242930313233343540414261855122129156[[#This Row],[Core Cyc'#/Frame]]*30/1000/1000</f>
        <v>371.58911999999998</v>
      </c>
      <c r="G231" s="31"/>
    </row>
    <row r="232" spans="1:7" x14ac:dyDescent="0.15">
      <c r="B232" t="s">
        <v>9</v>
      </c>
      <c r="C232" s="24">
        <v>13107200</v>
      </c>
      <c r="E232" s="27">
        <f>表9_15161718242930313233343540414261855122129156[[#This Row],[Core Cyc'#/Frame]]*30/1000/1000</f>
        <v>393.21600000000001</v>
      </c>
      <c r="G232" s="31"/>
    </row>
    <row r="233" spans="1:7" x14ac:dyDescent="0.15">
      <c r="B233" t="s">
        <v>10</v>
      </c>
      <c r="C233" s="24">
        <v>13139968</v>
      </c>
      <c r="E233" s="27">
        <f>表9_15161718242930313233343540414261855122129156[[#This Row],[Core Cyc'#/Frame]]*30/1000/1000</f>
        <v>394.19903999999997</v>
      </c>
      <c r="G233" s="31"/>
    </row>
    <row r="234" spans="1:7" x14ac:dyDescent="0.15">
      <c r="B234" t="s">
        <v>9</v>
      </c>
      <c r="C234" s="24">
        <v>13205504</v>
      </c>
      <c r="E234" s="27">
        <f>表9_15161718242930313233343540414261855122129156[[#This Row],[Core Cyc'#/Frame]]*30/1000/1000</f>
        <v>396.16512</v>
      </c>
      <c r="G234" s="31"/>
    </row>
    <row r="235" spans="1:7" x14ac:dyDescent="0.15">
      <c r="B235" t="s">
        <v>10</v>
      </c>
      <c r="C235" s="24">
        <v>13139968</v>
      </c>
      <c r="E235" s="27">
        <f>表9_15161718242930313233343540414261855122129156[[#This Row],[Core Cyc'#/Frame]]*30/1000/1000</f>
        <v>394.19903999999997</v>
      </c>
      <c r="G235" s="31"/>
    </row>
    <row r="236" spans="1:7" x14ac:dyDescent="0.15">
      <c r="B236" t="s">
        <v>111</v>
      </c>
      <c r="C236" s="24">
        <v>13008896</v>
      </c>
      <c r="D236" s="27"/>
      <c r="E236" s="27">
        <f>表9_15161718242930313233343540414261855122129156[[#This Row],[Core Cyc'#/Frame]]*30/1000/1000</f>
        <v>390.26688000000001</v>
      </c>
      <c r="G236" s="31"/>
    </row>
    <row r="237" spans="1:7" x14ac:dyDescent="0.15">
      <c r="D237" s="27"/>
      <c r="E237" s="27"/>
      <c r="G237" s="31"/>
    </row>
    <row r="238" spans="1:7" x14ac:dyDescent="0.15">
      <c r="D238" s="27"/>
      <c r="E238" s="27"/>
      <c r="G238" s="31"/>
    </row>
    <row r="239" spans="1:7" ht="15" customHeight="1" x14ac:dyDescent="0.15">
      <c r="A239" s="97"/>
      <c r="B239" s="97"/>
      <c r="C239" s="97"/>
      <c r="D239" s="97"/>
      <c r="E239" s="97"/>
      <c r="F239" s="97"/>
      <c r="G239" s="31"/>
    </row>
    <row r="240" spans="1:7" ht="30.75" customHeight="1" x14ac:dyDescent="0.15">
      <c r="A240" s="101" t="s">
        <v>94</v>
      </c>
      <c r="B240" s="101"/>
      <c r="C240" s="101"/>
      <c r="D240" s="101"/>
      <c r="E240" s="101"/>
      <c r="F240" s="101"/>
      <c r="G240" s="31"/>
    </row>
    <row r="241" spans="1:7" x14ac:dyDescent="0.15">
      <c r="A241" s="3" t="s">
        <v>83</v>
      </c>
      <c r="B241" s="4"/>
      <c r="C241" s="4"/>
      <c r="D241" s="5"/>
      <c r="E241" s="6"/>
      <c r="F241" s="4"/>
      <c r="G241" s="31"/>
    </row>
    <row r="242" spans="1:7" x14ac:dyDescent="0.15">
      <c r="A242" t="s">
        <v>4</v>
      </c>
      <c r="C242"/>
      <c r="D242"/>
      <c r="E242"/>
      <c r="F242"/>
      <c r="G242" s="31"/>
    </row>
    <row r="243" spans="1:7" x14ac:dyDescent="0.15">
      <c r="A243" s="1" t="s">
        <v>1</v>
      </c>
      <c r="B243" s="1" t="s">
        <v>2</v>
      </c>
      <c r="C243" s="1" t="s">
        <v>6</v>
      </c>
      <c r="D243" s="1" t="s">
        <v>7</v>
      </c>
      <c r="E243" s="1" t="s">
        <v>8</v>
      </c>
      <c r="F243" s="1" t="s">
        <v>5</v>
      </c>
      <c r="G243" s="31"/>
    </row>
    <row r="244" spans="1:7" x14ac:dyDescent="0.15">
      <c r="A244" t="s">
        <v>3</v>
      </c>
      <c r="B244" t="s">
        <v>0</v>
      </c>
      <c r="C244"/>
      <c r="D244"/>
      <c r="E244" s="2"/>
      <c r="F244"/>
      <c r="G244" s="31"/>
    </row>
    <row r="245" spans="1:7" x14ac:dyDescent="0.15">
      <c r="C245"/>
      <c r="D245"/>
      <c r="E245" s="2"/>
      <c r="F245"/>
      <c r="G245" s="31"/>
    </row>
    <row r="246" spans="1:7" x14ac:dyDescent="0.15">
      <c r="A246" s="3" t="s">
        <v>84</v>
      </c>
      <c r="B246" s="4"/>
      <c r="C246" s="4"/>
      <c r="D246" s="5"/>
      <c r="E246" s="6"/>
      <c r="F246" s="4"/>
      <c r="G246" s="31"/>
    </row>
    <row r="247" spans="1:7" x14ac:dyDescent="0.15">
      <c r="A247" t="s">
        <v>4</v>
      </c>
      <c r="C247"/>
      <c r="D247"/>
      <c r="E247"/>
      <c r="F247"/>
      <c r="G247" s="31"/>
    </row>
    <row r="248" spans="1:7" x14ac:dyDescent="0.15">
      <c r="A248" s="1" t="s">
        <v>1</v>
      </c>
      <c r="B248" s="1" t="s">
        <v>2</v>
      </c>
      <c r="C248" s="1" t="s">
        <v>6</v>
      </c>
      <c r="D248" s="1" t="s">
        <v>7</v>
      </c>
      <c r="E248" s="1" t="s">
        <v>8</v>
      </c>
      <c r="F248" s="1" t="s">
        <v>5</v>
      </c>
      <c r="G248" s="31"/>
    </row>
    <row r="249" spans="1:7" x14ac:dyDescent="0.15">
      <c r="A249" t="s">
        <v>3</v>
      </c>
      <c r="B249" t="s">
        <v>0</v>
      </c>
      <c r="C249"/>
      <c r="D249"/>
      <c r="E249" s="2"/>
      <c r="F249"/>
      <c r="G249" s="31"/>
    </row>
    <row r="250" spans="1:7" x14ac:dyDescent="0.15">
      <c r="B250" t="s">
        <v>9</v>
      </c>
      <c r="C250"/>
      <c r="D250"/>
      <c r="E250" s="2"/>
      <c r="F250"/>
      <c r="G250" s="31"/>
    </row>
    <row r="251" spans="1:7" x14ac:dyDescent="0.15">
      <c r="B251" t="s">
        <v>93</v>
      </c>
      <c r="C251"/>
      <c r="D251" s="2"/>
      <c r="E251" s="2"/>
      <c r="F251"/>
      <c r="G251" s="31"/>
    </row>
    <row r="252" spans="1:7" x14ac:dyDescent="0.15">
      <c r="A252" s="3" t="s">
        <v>85</v>
      </c>
      <c r="B252" s="4"/>
      <c r="C252" s="4"/>
      <c r="D252" s="5"/>
      <c r="E252" s="6"/>
      <c r="F252" s="4"/>
      <c r="G252" s="31"/>
    </row>
    <row r="253" spans="1:7" x14ac:dyDescent="0.15">
      <c r="A253" t="s">
        <v>4</v>
      </c>
      <c r="C253"/>
      <c r="D253"/>
      <c r="E253"/>
      <c r="F253"/>
      <c r="G253" s="31"/>
    </row>
    <row r="254" spans="1:7" x14ac:dyDescent="0.15">
      <c r="A254" s="1" t="s">
        <v>1</v>
      </c>
      <c r="B254" s="1" t="s">
        <v>2</v>
      </c>
      <c r="C254" s="1" t="s">
        <v>6</v>
      </c>
      <c r="D254" s="1" t="s">
        <v>7</v>
      </c>
      <c r="E254" s="1" t="s">
        <v>8</v>
      </c>
      <c r="F254" s="1" t="s">
        <v>5</v>
      </c>
      <c r="G254" s="31"/>
    </row>
    <row r="255" spans="1:7" x14ac:dyDescent="0.15">
      <c r="A255" t="s">
        <v>3</v>
      </c>
      <c r="B255" t="s">
        <v>0</v>
      </c>
      <c r="C255"/>
      <c r="D255"/>
      <c r="E255" s="2"/>
      <c r="F255"/>
      <c r="G255" s="31"/>
    </row>
    <row r="256" spans="1:7" x14ac:dyDescent="0.15">
      <c r="B256" t="s">
        <v>9</v>
      </c>
      <c r="C256"/>
      <c r="D256"/>
      <c r="E256" s="2"/>
      <c r="F256"/>
      <c r="G256" s="31"/>
    </row>
    <row r="257" spans="1:7" x14ac:dyDescent="0.15">
      <c r="B257" t="s">
        <v>10</v>
      </c>
      <c r="C257"/>
      <c r="D257"/>
      <c r="E257" s="2"/>
      <c r="F257"/>
      <c r="G257" s="31"/>
    </row>
    <row r="258" spans="1:7" x14ac:dyDescent="0.15">
      <c r="B258" t="s">
        <v>9</v>
      </c>
      <c r="C258"/>
      <c r="D258" s="2"/>
      <c r="E258" s="2"/>
      <c r="F258"/>
      <c r="G258" s="31"/>
    </row>
    <row r="259" spans="1:7" x14ac:dyDescent="0.15">
      <c r="A259" s="3" t="s">
        <v>86</v>
      </c>
      <c r="B259" s="4"/>
      <c r="C259" s="4"/>
      <c r="D259" s="5"/>
      <c r="E259" s="6"/>
      <c r="F259" s="4"/>
      <c r="G259" s="31"/>
    </row>
    <row r="260" spans="1:7" x14ac:dyDescent="0.15">
      <c r="A260" t="s">
        <v>4</v>
      </c>
      <c r="C260"/>
      <c r="D260"/>
      <c r="E260"/>
      <c r="F260"/>
      <c r="G260" s="31"/>
    </row>
    <row r="261" spans="1:7" x14ac:dyDescent="0.15">
      <c r="A261" s="1" t="s">
        <v>1</v>
      </c>
      <c r="B261" s="1" t="s">
        <v>2</v>
      </c>
      <c r="C261" s="1" t="s">
        <v>6</v>
      </c>
      <c r="D261" s="1" t="s">
        <v>7</v>
      </c>
      <c r="E261" s="1" t="s">
        <v>8</v>
      </c>
      <c r="F261" s="1" t="s">
        <v>5</v>
      </c>
      <c r="G261" s="31"/>
    </row>
    <row r="262" spans="1:7" x14ac:dyDescent="0.15">
      <c r="A262" t="s">
        <v>3</v>
      </c>
      <c r="B262" t="s">
        <v>0</v>
      </c>
      <c r="C262"/>
      <c r="D262"/>
      <c r="E262" s="2"/>
      <c r="F262"/>
      <c r="G262" s="31"/>
    </row>
    <row r="263" spans="1:7" x14ac:dyDescent="0.15">
      <c r="B263" t="s">
        <v>9</v>
      </c>
      <c r="C263"/>
      <c r="D263"/>
      <c r="E263" s="2"/>
      <c r="F263"/>
      <c r="G263" s="31"/>
    </row>
    <row r="264" spans="1:7" x14ac:dyDescent="0.15">
      <c r="B264" t="s">
        <v>10</v>
      </c>
      <c r="C264"/>
      <c r="D264"/>
      <c r="E264" s="2"/>
      <c r="F264"/>
      <c r="G264" s="31"/>
    </row>
    <row r="265" spans="1:7" x14ac:dyDescent="0.15">
      <c r="B265" t="s">
        <v>9</v>
      </c>
      <c r="C265"/>
      <c r="D265"/>
      <c r="E265" s="2"/>
      <c r="F265"/>
      <c r="G265" s="31"/>
    </row>
    <row r="266" spans="1:7" x14ac:dyDescent="0.15">
      <c r="A266" s="3" t="s">
        <v>87</v>
      </c>
      <c r="B266" s="4"/>
      <c r="C266" s="4"/>
      <c r="D266" s="5"/>
      <c r="E266" s="6"/>
      <c r="F266" s="4"/>
      <c r="G266" s="31"/>
    </row>
    <row r="267" spans="1:7" x14ac:dyDescent="0.15">
      <c r="A267" t="s">
        <v>4</v>
      </c>
      <c r="C267"/>
      <c r="D267"/>
      <c r="E267"/>
      <c r="F267"/>
      <c r="G267" s="31"/>
    </row>
    <row r="268" spans="1:7" x14ac:dyDescent="0.15">
      <c r="A268" s="1" t="s">
        <v>1</v>
      </c>
      <c r="B268" s="1" t="s">
        <v>2</v>
      </c>
      <c r="C268" s="1" t="s">
        <v>6</v>
      </c>
      <c r="D268" s="1" t="s">
        <v>7</v>
      </c>
      <c r="E268" s="1" t="s">
        <v>8</v>
      </c>
      <c r="F268" s="1" t="s">
        <v>5</v>
      </c>
      <c r="G268" s="31"/>
    </row>
    <row r="269" spans="1:7" x14ac:dyDescent="0.15">
      <c r="A269" t="s">
        <v>3</v>
      </c>
      <c r="B269" t="s">
        <v>0</v>
      </c>
      <c r="C269"/>
      <c r="D269"/>
      <c r="E269" s="2"/>
      <c r="F269"/>
      <c r="G269" s="31"/>
    </row>
    <row r="270" spans="1:7" x14ac:dyDescent="0.15">
      <c r="B270" t="s">
        <v>9</v>
      </c>
      <c r="C270"/>
      <c r="D270"/>
      <c r="E270" s="2"/>
      <c r="F270"/>
      <c r="G270" s="31"/>
    </row>
    <row r="271" spans="1:7" x14ac:dyDescent="0.15">
      <c r="B271" t="s">
        <v>10</v>
      </c>
      <c r="C271"/>
      <c r="D271"/>
      <c r="E271" s="2"/>
      <c r="F271"/>
      <c r="G271" s="31"/>
    </row>
    <row r="272" spans="1:7" x14ac:dyDescent="0.15">
      <c r="B272" t="s">
        <v>9</v>
      </c>
      <c r="C272"/>
      <c r="D272"/>
      <c r="E272" s="2"/>
      <c r="F272"/>
      <c r="G272" s="31"/>
    </row>
    <row r="273" spans="1:7" x14ac:dyDescent="0.15">
      <c r="B273" t="s">
        <v>10</v>
      </c>
      <c r="C273"/>
      <c r="D273"/>
      <c r="E273" s="2"/>
      <c r="F273"/>
      <c r="G273" s="31"/>
    </row>
    <row r="274" spans="1:7" x14ac:dyDescent="0.15">
      <c r="A274" s="3" t="s">
        <v>88</v>
      </c>
      <c r="B274" s="4"/>
      <c r="C274" s="4"/>
      <c r="D274" s="5"/>
      <c r="E274" s="6"/>
      <c r="F274" s="4"/>
      <c r="G274" s="31"/>
    </row>
    <row r="275" spans="1:7" x14ac:dyDescent="0.15">
      <c r="A275" t="s">
        <v>4</v>
      </c>
      <c r="C275"/>
      <c r="D275"/>
      <c r="E275"/>
      <c r="F275"/>
      <c r="G275" s="31"/>
    </row>
    <row r="276" spans="1:7" x14ac:dyDescent="0.15">
      <c r="A276" s="1" t="s">
        <v>1</v>
      </c>
      <c r="B276" s="1" t="s">
        <v>2</v>
      </c>
      <c r="C276" s="1" t="s">
        <v>6</v>
      </c>
      <c r="D276" s="1" t="s">
        <v>7</v>
      </c>
      <c r="E276" s="1" t="s">
        <v>8</v>
      </c>
      <c r="F276" s="1" t="s">
        <v>5</v>
      </c>
      <c r="G276" s="31"/>
    </row>
    <row r="277" spans="1:7" x14ac:dyDescent="0.15">
      <c r="A277" t="s">
        <v>3</v>
      </c>
      <c r="B277" t="s">
        <v>0</v>
      </c>
      <c r="C277"/>
      <c r="D277"/>
      <c r="E277" s="2"/>
      <c r="F277"/>
      <c r="G277" s="31"/>
    </row>
    <row r="278" spans="1:7" x14ac:dyDescent="0.15">
      <c r="B278" t="s">
        <v>9</v>
      </c>
      <c r="C278"/>
      <c r="D278"/>
      <c r="E278" s="2"/>
      <c r="F278"/>
      <c r="G278" s="31"/>
    </row>
    <row r="279" spans="1:7" x14ac:dyDescent="0.15">
      <c r="B279" t="s">
        <v>10</v>
      </c>
      <c r="C279"/>
      <c r="D279"/>
      <c r="E279" s="2"/>
      <c r="F279"/>
      <c r="G279" s="31"/>
    </row>
    <row r="280" spans="1:7" x14ac:dyDescent="0.15">
      <c r="B280" t="s">
        <v>9</v>
      </c>
      <c r="C280"/>
      <c r="D280"/>
      <c r="E280" s="2"/>
      <c r="F280"/>
      <c r="G280" s="31"/>
    </row>
    <row r="281" spans="1:7" x14ac:dyDescent="0.15">
      <c r="B281" t="s">
        <v>10</v>
      </c>
      <c r="C281"/>
      <c r="D281"/>
      <c r="E281" s="2"/>
      <c r="F281"/>
      <c r="G281" s="31"/>
    </row>
    <row r="286" spans="1:7" x14ac:dyDescent="0.15">
      <c r="C286"/>
      <c r="D286"/>
      <c r="E286"/>
      <c r="F286"/>
    </row>
    <row r="287" spans="1:7" x14ac:dyDescent="0.15">
      <c r="C287"/>
      <c r="D287"/>
      <c r="E287"/>
      <c r="F287"/>
    </row>
    <row r="288" spans="1:7" x14ac:dyDescent="0.15">
      <c r="C288"/>
      <c r="D288"/>
      <c r="E288"/>
      <c r="F288"/>
    </row>
  </sheetData>
  <mergeCells count="6">
    <mergeCell ref="A1:F1"/>
    <mergeCell ref="A239:F239"/>
    <mergeCell ref="A240:F240"/>
    <mergeCell ref="A66:F66"/>
    <mergeCell ref="A118:F118"/>
    <mergeCell ref="A176:F176"/>
  </mergeCells>
  <phoneticPr fontId="2" type="noConversion"/>
  <pageMargins left="0.7" right="0.7" top="0.75" bottom="0.75" header="0.3" footer="0.3"/>
  <pageSetup paperSize="9" orientation="portrait" horizontalDpi="0" verticalDpi="0" r:id="rId1"/>
  <tableParts count="3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8" workbookViewId="0">
      <selection activeCell="A44" sqref="A44:I53"/>
    </sheetView>
  </sheetViews>
  <sheetFormatPr defaultRowHeight="13.5" x14ac:dyDescent="0.15"/>
  <cols>
    <col min="1" max="1" width="26.25" customWidth="1"/>
    <col min="2" max="2" width="39.75" customWidth="1"/>
    <col min="3" max="3" width="42.875" customWidth="1"/>
    <col min="4" max="4" width="45.625" customWidth="1"/>
  </cols>
  <sheetData>
    <row r="1" spans="1:4" ht="14.25" thickBot="1" x14ac:dyDescent="0.2">
      <c r="A1" s="13" t="s">
        <v>268</v>
      </c>
    </row>
    <row r="2" spans="1:4" ht="14.25" thickBot="1" x14ac:dyDescent="0.2">
      <c r="A2" s="8"/>
      <c r="B2" s="9" t="s">
        <v>103</v>
      </c>
      <c r="C2" s="9" t="s">
        <v>104</v>
      </c>
      <c r="D2" s="9" t="s">
        <v>42</v>
      </c>
    </row>
    <row r="3" spans="1:4" ht="26.25" thickBot="1" x14ac:dyDescent="0.2">
      <c r="A3" s="10" t="s">
        <v>43</v>
      </c>
      <c r="B3" s="11"/>
      <c r="C3" s="11"/>
      <c r="D3" s="12" t="s">
        <v>48</v>
      </c>
    </row>
    <row r="4" spans="1:4" ht="26.25" thickBot="1" x14ac:dyDescent="0.2">
      <c r="A4" s="10" t="s">
        <v>44</v>
      </c>
      <c r="B4" s="11"/>
      <c r="C4" s="11"/>
      <c r="D4" s="12" t="s">
        <v>98</v>
      </c>
    </row>
    <row r="5" spans="1:4" ht="26.25" thickBot="1" x14ac:dyDescent="0.2">
      <c r="A5" s="10" t="s">
        <v>45</v>
      </c>
      <c r="B5" s="11"/>
      <c r="C5" s="11"/>
      <c r="D5" s="12" t="s">
        <v>49</v>
      </c>
    </row>
    <row r="6" spans="1:4" ht="14.25" thickBot="1" x14ac:dyDescent="0.2">
      <c r="A6" s="10" t="s">
        <v>46</v>
      </c>
      <c r="B6" s="11"/>
      <c r="C6" s="11"/>
      <c r="D6" s="11" t="s">
        <v>47</v>
      </c>
    </row>
    <row r="8" spans="1:4" ht="16.5" x14ac:dyDescent="0.15">
      <c r="A8" s="13" t="s">
        <v>56</v>
      </c>
      <c r="B8" s="14"/>
      <c r="C8" s="14"/>
    </row>
    <row r="9" spans="1:4" ht="17.25" thickBot="1" x14ac:dyDescent="0.2">
      <c r="A9" s="13" t="s">
        <v>81</v>
      </c>
      <c r="B9" s="14"/>
      <c r="C9" s="14"/>
      <c r="D9" s="14"/>
    </row>
    <row r="10" spans="1:4" ht="14.25" thickBot="1" x14ac:dyDescent="0.2">
      <c r="A10" s="15" t="s">
        <v>50</v>
      </c>
      <c r="B10" s="16" t="s">
        <v>51</v>
      </c>
      <c r="C10" s="16" t="s">
        <v>52</v>
      </c>
      <c r="D10" s="17" t="s">
        <v>53</v>
      </c>
    </row>
    <row r="11" spans="1:4" ht="14.25" thickBot="1" x14ac:dyDescent="0.2">
      <c r="A11" s="18" t="s">
        <v>54</v>
      </c>
      <c r="B11" s="18" t="s">
        <v>57</v>
      </c>
      <c r="C11" s="18" t="s">
        <v>58</v>
      </c>
      <c r="D11" s="18" t="s">
        <v>59</v>
      </c>
    </row>
    <row r="12" spans="1:4" ht="14.25" thickBot="1" x14ac:dyDescent="0.2">
      <c r="A12" s="19" t="s">
        <v>55</v>
      </c>
      <c r="B12" s="19" t="s">
        <v>60</v>
      </c>
      <c r="C12" s="19" t="s">
        <v>61</v>
      </c>
      <c r="D12" s="19" t="s">
        <v>62</v>
      </c>
    </row>
    <row r="13" spans="1:4" ht="14.25" thickBot="1" x14ac:dyDescent="0.2">
      <c r="A13" s="19" t="s">
        <v>63</v>
      </c>
      <c r="B13" s="19" t="s">
        <v>66</v>
      </c>
      <c r="C13" s="19" t="s">
        <v>67</v>
      </c>
      <c r="D13" s="19" t="s">
        <v>67</v>
      </c>
    </row>
    <row r="14" spans="1:4" ht="14.25" thickBot="1" x14ac:dyDescent="0.2">
      <c r="A14" s="19" t="s">
        <v>64</v>
      </c>
      <c r="B14" s="19" t="s">
        <v>68</v>
      </c>
      <c r="C14" s="19" t="s">
        <v>69</v>
      </c>
      <c r="D14" s="19" t="s">
        <v>70</v>
      </c>
    </row>
    <row r="15" spans="1:4" ht="14.25" thickBot="1" x14ac:dyDescent="0.2">
      <c r="A15" s="19" t="s">
        <v>65</v>
      </c>
      <c r="B15" s="19" t="s">
        <v>75</v>
      </c>
      <c r="C15" s="19" t="s">
        <v>76</v>
      </c>
      <c r="D15" s="19" t="s">
        <v>77</v>
      </c>
    </row>
    <row r="16" spans="1:4" ht="26.25" thickBot="1" x14ac:dyDescent="0.2">
      <c r="A16" s="20" t="s">
        <v>74</v>
      </c>
      <c r="B16" s="22" t="s">
        <v>71</v>
      </c>
      <c r="C16" s="22" t="s">
        <v>72</v>
      </c>
      <c r="D16" s="22" t="s">
        <v>73</v>
      </c>
    </row>
    <row r="17" spans="1:4" ht="39" thickBot="1" x14ac:dyDescent="0.2">
      <c r="A17" s="21" t="s">
        <v>82</v>
      </c>
      <c r="B17" s="18" t="s">
        <v>78</v>
      </c>
      <c r="C17" s="18" t="s">
        <v>79</v>
      </c>
      <c r="D17" s="18" t="s">
        <v>80</v>
      </c>
    </row>
    <row r="18" spans="1:4" x14ac:dyDescent="0.15">
      <c r="A18" s="33" t="s">
        <v>106</v>
      </c>
    </row>
    <row r="21" spans="1:4" ht="14.25" thickBot="1" x14ac:dyDescent="0.2">
      <c r="A21" s="13" t="s">
        <v>267</v>
      </c>
    </row>
    <row r="22" spans="1:4" ht="14.25" thickBot="1" x14ac:dyDescent="0.2">
      <c r="A22" s="8"/>
      <c r="B22" s="9" t="s">
        <v>105</v>
      </c>
      <c r="C22" s="9" t="s">
        <v>104</v>
      </c>
      <c r="D22" s="9" t="s">
        <v>42</v>
      </c>
    </row>
    <row r="23" spans="1:4" ht="26.25" thickBot="1" x14ac:dyDescent="0.2">
      <c r="A23" s="10" t="s">
        <v>43</v>
      </c>
      <c r="B23" s="11"/>
      <c r="C23" s="11"/>
      <c r="D23" s="12" t="s">
        <v>102</v>
      </c>
    </row>
    <row r="24" spans="1:4" ht="26.25" thickBot="1" x14ac:dyDescent="0.2">
      <c r="A24" s="10" t="s">
        <v>44</v>
      </c>
      <c r="B24" s="11"/>
      <c r="C24" s="11"/>
      <c r="D24" s="12" t="s">
        <v>99</v>
      </c>
    </row>
    <row r="25" spans="1:4" ht="26.25" thickBot="1" x14ac:dyDescent="0.2">
      <c r="A25" s="10" t="s">
        <v>45</v>
      </c>
      <c r="B25" s="11"/>
      <c r="C25" s="11"/>
      <c r="D25" s="12" t="s">
        <v>101</v>
      </c>
    </row>
    <row r="26" spans="1:4" ht="26.25" thickBot="1" x14ac:dyDescent="0.2">
      <c r="A26" s="10" t="s">
        <v>46</v>
      </c>
      <c r="B26" s="11"/>
      <c r="C26" s="11"/>
      <c r="D26" s="12" t="s">
        <v>100</v>
      </c>
    </row>
    <row r="31" spans="1:4" ht="14.25" thickBot="1" x14ac:dyDescent="0.2">
      <c r="A31" s="13" t="s">
        <v>266</v>
      </c>
    </row>
    <row r="32" spans="1:4" ht="14.25" thickBot="1" x14ac:dyDescent="0.2">
      <c r="A32" s="8"/>
      <c r="B32" s="9" t="s">
        <v>105</v>
      </c>
      <c r="C32" s="9" t="s">
        <v>104</v>
      </c>
      <c r="D32" s="9" t="s">
        <v>42</v>
      </c>
    </row>
    <row r="33" spans="1:4" ht="26.25" thickBot="1" x14ac:dyDescent="0.2">
      <c r="A33" s="10" t="s">
        <v>43</v>
      </c>
      <c r="B33" s="11"/>
      <c r="C33" s="12" t="s">
        <v>153</v>
      </c>
      <c r="D33" s="12" t="s">
        <v>152</v>
      </c>
    </row>
    <row r="34" spans="1:4" ht="26.25" thickBot="1" x14ac:dyDescent="0.2">
      <c r="A34" s="10" t="s">
        <v>44</v>
      </c>
      <c r="B34" s="11"/>
      <c r="C34" s="12" t="s">
        <v>154</v>
      </c>
      <c r="D34" s="12" t="s">
        <v>99</v>
      </c>
    </row>
    <row r="35" spans="1:4" ht="26.25" thickBot="1" x14ac:dyDescent="0.2">
      <c r="A35" s="10" t="s">
        <v>45</v>
      </c>
      <c r="B35" s="11"/>
      <c r="C35" s="12" t="s">
        <v>154</v>
      </c>
      <c r="D35" s="12" t="s">
        <v>101</v>
      </c>
    </row>
    <row r="36" spans="1:4" ht="26.25" thickBot="1" x14ac:dyDescent="0.2">
      <c r="A36" s="10" t="s">
        <v>265</v>
      </c>
      <c r="B36" s="11"/>
      <c r="C36" s="11"/>
      <c r="D36" s="12" t="s">
        <v>122</v>
      </c>
    </row>
    <row r="37" spans="1:4" ht="26.25" thickBot="1" x14ac:dyDescent="0.2">
      <c r="A37" s="10" t="s">
        <v>46</v>
      </c>
      <c r="B37" s="11"/>
      <c r="C37" s="11"/>
      <c r="D37" s="12" t="s">
        <v>100</v>
      </c>
    </row>
    <row r="38" spans="1:4" ht="21" customHeight="1" x14ac:dyDescent="0.15">
      <c r="A38" s="55" t="s">
        <v>269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opLeftCell="D46" workbookViewId="0">
      <selection activeCell="E88" sqref="E88"/>
    </sheetView>
  </sheetViews>
  <sheetFormatPr defaultRowHeight="13.5" x14ac:dyDescent="0.15"/>
  <cols>
    <col min="1" max="1" width="30.875" customWidth="1"/>
    <col min="2" max="2" width="11.625" bestFit="1" customWidth="1"/>
    <col min="3" max="3" width="21.5" customWidth="1"/>
    <col min="4" max="4" width="20.25" bestFit="1" customWidth="1"/>
    <col min="5" max="5" width="36" customWidth="1"/>
    <col min="6" max="6" width="11.625" bestFit="1" customWidth="1"/>
    <col min="7" max="7" width="2" customWidth="1"/>
  </cols>
  <sheetData>
    <row r="1" spans="1:7" ht="20.25" x14ac:dyDescent="0.25">
      <c r="A1" s="99" t="s">
        <v>123</v>
      </c>
      <c r="B1" s="100"/>
      <c r="C1" s="100"/>
      <c r="D1" s="100"/>
      <c r="E1" s="100"/>
      <c r="F1" s="100"/>
      <c r="G1" s="31"/>
    </row>
    <row r="2" spans="1:7" x14ac:dyDescent="0.15">
      <c r="A2" s="1" t="s">
        <v>143</v>
      </c>
      <c r="C2" s="24"/>
      <c r="D2" s="24"/>
      <c r="E2" s="24"/>
      <c r="F2" s="24"/>
      <c r="G2" s="31"/>
    </row>
    <row r="3" spans="1:7" x14ac:dyDescent="0.15">
      <c r="A3" t="s">
        <v>112</v>
      </c>
      <c r="C3" s="24"/>
      <c r="D3" s="24"/>
      <c r="E3" s="24"/>
      <c r="F3" s="24"/>
      <c r="G3" s="31"/>
    </row>
    <row r="4" spans="1:7" x14ac:dyDescent="0.15">
      <c r="A4" s="1" t="s">
        <v>1</v>
      </c>
      <c r="B4" s="1" t="s">
        <v>2</v>
      </c>
      <c r="C4" s="25" t="s">
        <v>6</v>
      </c>
      <c r="D4" s="25" t="s">
        <v>7</v>
      </c>
      <c r="E4" s="25" t="s">
        <v>89</v>
      </c>
      <c r="F4" s="25" t="s">
        <v>5</v>
      </c>
      <c r="G4" s="31"/>
    </row>
    <row r="5" spans="1:7" x14ac:dyDescent="0.15">
      <c r="A5" t="s">
        <v>3</v>
      </c>
      <c r="B5" t="s">
        <v>0</v>
      </c>
      <c r="C5" s="24">
        <v>12845056</v>
      </c>
      <c r="D5" s="27">
        <v>13407573</v>
      </c>
      <c r="E5" s="27">
        <f>表9_15161718243104157[[#This Row],[Core Cyc'#/Frame]]*30/1000/1000</f>
        <v>385.35167999999999</v>
      </c>
      <c r="F5" s="24">
        <v>19</v>
      </c>
      <c r="G5" s="31"/>
    </row>
    <row r="6" spans="1:7" x14ac:dyDescent="0.15">
      <c r="B6" t="s">
        <v>9</v>
      </c>
      <c r="C6" s="24">
        <v>17137664</v>
      </c>
      <c r="D6" s="27">
        <v>17684497</v>
      </c>
      <c r="E6" s="27">
        <f>表9_15161718243104157[[#This Row],[Core Cyc'#/Frame]]*30/1000/1000</f>
        <v>514.12991999999997</v>
      </c>
      <c r="F6" s="24">
        <v>30</v>
      </c>
      <c r="G6" s="31"/>
    </row>
    <row r="7" spans="1:7" x14ac:dyDescent="0.15">
      <c r="B7" t="s">
        <v>110</v>
      </c>
      <c r="C7" s="24">
        <v>20840448</v>
      </c>
      <c r="D7" s="27">
        <v>21408865</v>
      </c>
      <c r="E7" s="27">
        <f>表9_15161718243104157[[#This Row],[Core Cyc'#/Frame]]*30/1000/1000</f>
        <v>625.21343999999999</v>
      </c>
      <c r="F7" s="24">
        <v>38</v>
      </c>
      <c r="G7" s="31"/>
    </row>
    <row r="8" spans="1:7" x14ac:dyDescent="0.15">
      <c r="B8" t="s">
        <v>111</v>
      </c>
      <c r="C8" s="24">
        <v>17268736</v>
      </c>
      <c r="D8" s="27">
        <v>17819537</v>
      </c>
      <c r="E8" s="27">
        <f>表9_15161718243104157[[#This Row],[Core Cyc'#/Frame]]*30/1000/1000</f>
        <v>518.06208000000004</v>
      </c>
      <c r="F8" s="24">
        <v>30</v>
      </c>
      <c r="G8" s="31"/>
    </row>
    <row r="9" spans="1:7" x14ac:dyDescent="0.15">
      <c r="C9" s="24"/>
      <c r="D9" s="27"/>
      <c r="E9" s="27"/>
      <c r="F9" s="24"/>
      <c r="G9" s="31"/>
    </row>
    <row r="10" spans="1:7" x14ac:dyDescent="0.15">
      <c r="C10" s="24"/>
      <c r="D10" s="27"/>
      <c r="E10" s="27"/>
      <c r="F10" s="24"/>
      <c r="G10" s="31"/>
    </row>
    <row r="11" spans="1:7" x14ac:dyDescent="0.15">
      <c r="A11" s="1" t="s">
        <v>144</v>
      </c>
      <c r="C11" s="24"/>
      <c r="D11" s="27"/>
      <c r="E11" s="27"/>
      <c r="F11" s="24"/>
      <c r="G11" s="31"/>
    </row>
    <row r="12" spans="1:7" x14ac:dyDescent="0.15">
      <c r="A12" t="s">
        <v>4</v>
      </c>
      <c r="C12" s="24"/>
      <c r="D12" s="24"/>
      <c r="E12" s="24"/>
      <c r="F12" s="24"/>
      <c r="G12" s="31"/>
    </row>
    <row r="13" spans="1:7" x14ac:dyDescent="0.15">
      <c r="A13" s="1" t="s">
        <v>1</v>
      </c>
      <c r="B13" s="1" t="s">
        <v>2</v>
      </c>
      <c r="C13" s="25" t="s">
        <v>6</v>
      </c>
      <c r="D13" s="25" t="s">
        <v>7</v>
      </c>
      <c r="E13" s="25" t="s">
        <v>8</v>
      </c>
      <c r="F13" s="25" t="s">
        <v>5</v>
      </c>
      <c r="G13" s="31"/>
    </row>
    <row r="14" spans="1:7" x14ac:dyDescent="0.15">
      <c r="A14" t="s">
        <v>3</v>
      </c>
      <c r="B14" t="s">
        <v>0</v>
      </c>
      <c r="C14" s="24">
        <v>12451840</v>
      </c>
      <c r="D14" s="27">
        <v>13005589</v>
      </c>
      <c r="E14" s="27">
        <f>表9_15161718242912105158[[#This Row],[Core Cyc'#/Frame]]*30/1000/1000</f>
        <v>373.55520000000001</v>
      </c>
      <c r="F14" s="24">
        <v>19</v>
      </c>
      <c r="G14" s="31"/>
    </row>
    <row r="15" spans="1:7" x14ac:dyDescent="0.15">
      <c r="B15" t="s">
        <v>9</v>
      </c>
      <c r="C15" s="24">
        <v>14974976</v>
      </c>
      <c r="D15" s="27">
        <v>15511641</v>
      </c>
      <c r="E15" s="27">
        <f>表9_15161718242912105158[[#This Row],[Core Cyc'#/Frame]]*30/1000/1000</f>
        <v>449.24928000000006</v>
      </c>
      <c r="F15" s="24">
        <v>30</v>
      </c>
      <c r="G15" s="31"/>
    </row>
    <row r="16" spans="1:7" x14ac:dyDescent="0.15">
      <c r="B16" t="s">
        <v>10</v>
      </c>
      <c r="C16" s="24">
        <v>17793024</v>
      </c>
      <c r="D16" s="27">
        <v>18342465</v>
      </c>
      <c r="E16" s="27">
        <f>表9_15161718242912105158[[#This Row],[Core Cyc'#/Frame]]*30/1000/1000</f>
        <v>533.79071999999996</v>
      </c>
      <c r="F16" s="24">
        <v>38</v>
      </c>
      <c r="G16" s="31"/>
    </row>
    <row r="17" spans="1:7" x14ac:dyDescent="0.15">
      <c r="B17" t="s">
        <v>111</v>
      </c>
      <c r="C17" s="24">
        <v>15073280</v>
      </c>
      <c r="D17" s="27">
        <v>15624329</v>
      </c>
      <c r="E17" s="27">
        <f>表9_15161718242912105158[[#This Row],[Core Cyc'#/Frame]]*30/1000/1000</f>
        <v>452.19840000000005</v>
      </c>
      <c r="F17" s="24">
        <v>30</v>
      </c>
      <c r="G17" s="31"/>
    </row>
    <row r="18" spans="1:7" x14ac:dyDescent="0.15">
      <c r="B18" t="s">
        <v>110</v>
      </c>
      <c r="C18" s="24">
        <v>17924096</v>
      </c>
      <c r="D18" s="27">
        <v>18469971</v>
      </c>
      <c r="E18" s="27">
        <f>表9_15161718242912105158[[#This Row],[Core Cyc'#/Frame]]*30/1000/1000</f>
        <v>537.72288000000003</v>
      </c>
      <c r="F18" s="24">
        <v>38</v>
      </c>
      <c r="G18" s="31"/>
    </row>
    <row r="19" spans="1:7" x14ac:dyDescent="0.15">
      <c r="C19" s="24"/>
      <c r="D19" s="27"/>
      <c r="E19" s="27"/>
      <c r="F19" s="24"/>
      <c r="G19" s="31"/>
    </row>
    <row r="20" spans="1:7" x14ac:dyDescent="0.15">
      <c r="A20" s="3" t="s">
        <v>124</v>
      </c>
      <c r="B20" s="4"/>
      <c r="C20" s="26"/>
      <c r="D20" s="29"/>
      <c r="E20" s="28"/>
      <c r="F20" s="26"/>
      <c r="G20" s="31"/>
    </row>
    <row r="21" spans="1:7" x14ac:dyDescent="0.15">
      <c r="A21" t="s">
        <v>4</v>
      </c>
      <c r="C21" s="24"/>
      <c r="D21" s="24"/>
      <c r="E21" s="24"/>
      <c r="F21" s="24"/>
      <c r="G21" s="31"/>
    </row>
    <row r="22" spans="1:7" x14ac:dyDescent="0.15">
      <c r="A22" s="1" t="s">
        <v>1</v>
      </c>
      <c r="B22" s="1" t="s">
        <v>2</v>
      </c>
      <c r="C22" s="25" t="s">
        <v>6</v>
      </c>
      <c r="D22" s="25" t="s">
        <v>7</v>
      </c>
      <c r="E22" s="25" t="s">
        <v>8</v>
      </c>
      <c r="F22" s="25" t="s">
        <v>5</v>
      </c>
      <c r="G22" s="31"/>
    </row>
    <row r="23" spans="1:7" x14ac:dyDescent="0.15">
      <c r="A23" t="s">
        <v>3</v>
      </c>
      <c r="B23" t="s">
        <v>0</v>
      </c>
      <c r="C23" s="24">
        <v>12386304</v>
      </c>
      <c r="D23" s="27">
        <v>12946797</v>
      </c>
      <c r="E23" s="27">
        <f>表9_1516171824293019106159[[#This Row],[Core Cyc'#/Frame]]*30/1000/1000</f>
        <v>371.58911999999998</v>
      </c>
      <c r="F23" s="24">
        <v>19</v>
      </c>
      <c r="G23" s="31"/>
    </row>
    <row r="24" spans="1:7" x14ac:dyDescent="0.15">
      <c r="B24" t="s">
        <v>9</v>
      </c>
      <c r="C24" s="24">
        <v>13467648</v>
      </c>
      <c r="D24" s="27">
        <v>14024001</v>
      </c>
      <c r="E24" s="27">
        <f>表9_1516171824293019106159[[#This Row],[Core Cyc'#/Frame]]*30/1000/1000</f>
        <v>404.02944000000002</v>
      </c>
      <c r="F24" s="24">
        <v>30</v>
      </c>
      <c r="G24" s="31"/>
    </row>
    <row r="25" spans="1:7" x14ac:dyDescent="0.15">
      <c r="B25" t="s">
        <v>110</v>
      </c>
      <c r="C25" s="24">
        <v>14548992</v>
      </c>
      <c r="D25" s="27">
        <v>15113625</v>
      </c>
      <c r="E25" s="27">
        <f>表9_1516171824293019106159[[#This Row],[Core Cyc'#/Frame]]*30/1000/1000</f>
        <v>436.46976000000001</v>
      </c>
      <c r="F25" s="24">
        <v>38</v>
      </c>
      <c r="G25" s="31"/>
    </row>
    <row r="26" spans="1:7" x14ac:dyDescent="0.15">
      <c r="B26" t="s">
        <v>111</v>
      </c>
      <c r="C26" s="24">
        <v>13565952</v>
      </c>
      <c r="D26" s="27">
        <v>14122977</v>
      </c>
      <c r="E26" s="27">
        <f>表9_1516171824293019106159[[#This Row],[Core Cyc'#/Frame]]*30/1000/1000</f>
        <v>406.97856000000002</v>
      </c>
      <c r="F26" s="24">
        <v>30</v>
      </c>
      <c r="G26" s="31"/>
    </row>
    <row r="27" spans="1:7" x14ac:dyDescent="0.15">
      <c r="B27" t="s">
        <v>10</v>
      </c>
      <c r="C27" s="24">
        <v>14647296</v>
      </c>
      <c r="D27" s="27">
        <v>15187035</v>
      </c>
      <c r="E27" s="27">
        <f>表9_1516171824293019106159[[#This Row],[Core Cyc'#/Frame]]*30/1000/1000</f>
        <v>439.41888</v>
      </c>
      <c r="F27" s="24">
        <v>38</v>
      </c>
      <c r="G27" s="31"/>
    </row>
    <row r="28" spans="1:7" x14ac:dyDescent="0.15">
      <c r="B28" t="s">
        <v>111</v>
      </c>
      <c r="C28" s="24">
        <v>13500416</v>
      </c>
      <c r="D28" s="27">
        <v>14051041</v>
      </c>
      <c r="E28" s="27">
        <f>表9_1516171824293019106159[[#This Row],[Core Cyc'#/Frame]]*30/1000/1000</f>
        <v>405.01247999999998</v>
      </c>
      <c r="F28" s="24">
        <v>30</v>
      </c>
      <c r="G28" s="31"/>
    </row>
    <row r="29" spans="1:7" x14ac:dyDescent="0.15">
      <c r="A29" s="3" t="s">
        <v>125</v>
      </c>
      <c r="B29" s="4"/>
      <c r="C29" s="26"/>
      <c r="D29" s="29"/>
      <c r="E29" s="28"/>
      <c r="F29" s="26"/>
      <c r="G29" s="31"/>
    </row>
    <row r="30" spans="1:7" x14ac:dyDescent="0.15">
      <c r="A30" t="s">
        <v>4</v>
      </c>
      <c r="C30" s="24"/>
      <c r="D30" s="24"/>
      <c r="E30" s="24"/>
      <c r="F30" s="24"/>
      <c r="G30" s="31"/>
    </row>
    <row r="31" spans="1:7" x14ac:dyDescent="0.15">
      <c r="A31" s="1" t="s">
        <v>1</v>
      </c>
      <c r="B31" s="1" t="s">
        <v>2</v>
      </c>
      <c r="C31" s="25" t="s">
        <v>6</v>
      </c>
      <c r="D31" s="25" t="s">
        <v>7</v>
      </c>
      <c r="E31" s="25" t="s">
        <v>8</v>
      </c>
      <c r="F31" s="25" t="s">
        <v>5</v>
      </c>
      <c r="G31" s="31"/>
    </row>
    <row r="32" spans="1:7" x14ac:dyDescent="0.15">
      <c r="A32" t="s">
        <v>3</v>
      </c>
      <c r="B32" t="s">
        <v>0</v>
      </c>
      <c r="C32" s="24">
        <v>12386304</v>
      </c>
      <c r="D32" s="27">
        <v>12937781</v>
      </c>
      <c r="E32" s="27">
        <f>表9_151617182429303120107160[[#This Row],[Core Cyc'#/Frame]]*30/1000/1000</f>
        <v>371.58911999999998</v>
      </c>
      <c r="F32" s="24">
        <v>19</v>
      </c>
      <c r="G32" s="31"/>
    </row>
    <row r="33" spans="1:7" x14ac:dyDescent="0.15">
      <c r="B33" t="s">
        <v>9</v>
      </c>
      <c r="C33" s="24">
        <v>13205504</v>
      </c>
      <c r="D33" s="27">
        <v>13751449</v>
      </c>
      <c r="E33" s="27">
        <f>表9_151617182429303120107160[[#This Row],[Core Cyc'#/Frame]]*30/1000/1000</f>
        <v>396.16512</v>
      </c>
      <c r="F33" s="24">
        <v>30</v>
      </c>
      <c r="G33" s="31"/>
    </row>
    <row r="34" spans="1:7" x14ac:dyDescent="0.15">
      <c r="B34" t="s">
        <v>110</v>
      </c>
      <c r="C34" s="24">
        <v>13467648</v>
      </c>
      <c r="D34" s="27">
        <v>14023801</v>
      </c>
      <c r="E34" s="27">
        <f>表9_151617182429303120107160[[#This Row],[Core Cyc'#/Frame]]*30/1000/1000</f>
        <v>404.02944000000002</v>
      </c>
      <c r="F34" s="24">
        <v>38</v>
      </c>
      <c r="G34" s="31"/>
    </row>
    <row r="35" spans="1:7" x14ac:dyDescent="0.15">
      <c r="B35" t="s">
        <v>111</v>
      </c>
      <c r="C35" s="24">
        <v>13271040</v>
      </c>
      <c r="D35" s="27">
        <v>13812441</v>
      </c>
      <c r="E35" s="27">
        <f>表9_151617182429303120107160[[#This Row],[Core Cyc'#/Frame]]*30/1000/1000</f>
        <v>398.13120000000004</v>
      </c>
      <c r="F35" s="24">
        <v>30</v>
      </c>
      <c r="G35" s="31"/>
    </row>
    <row r="36" spans="1:7" x14ac:dyDescent="0.15">
      <c r="B36" t="s">
        <v>10</v>
      </c>
      <c r="C36" s="24">
        <v>13500416</v>
      </c>
      <c r="D36" s="27">
        <v>14043115</v>
      </c>
      <c r="E36" s="27">
        <f>表9_151617182429303120107160[[#This Row],[Core Cyc'#/Frame]]*30/1000/1000</f>
        <v>405.01247999999998</v>
      </c>
      <c r="F36" s="24">
        <v>38</v>
      </c>
      <c r="G36" s="31"/>
    </row>
    <row r="37" spans="1:7" x14ac:dyDescent="0.15">
      <c r="B37" t="s">
        <v>9</v>
      </c>
      <c r="C37" s="24">
        <v>13139968</v>
      </c>
      <c r="D37" s="27">
        <v>13679313</v>
      </c>
      <c r="E37" s="27">
        <f>表9_151617182429303120107160[[#This Row],[Core Cyc'#/Frame]]*30/1000/1000</f>
        <v>394.19903999999997</v>
      </c>
      <c r="F37" s="24">
        <v>30</v>
      </c>
      <c r="G37" s="31"/>
    </row>
    <row r="38" spans="1:7" x14ac:dyDescent="0.15">
      <c r="A38" s="3" t="s">
        <v>126</v>
      </c>
      <c r="B38" s="4"/>
      <c r="C38" s="26"/>
      <c r="D38" s="29"/>
      <c r="E38" s="28"/>
      <c r="F38" s="26"/>
      <c r="G38" s="31"/>
    </row>
    <row r="39" spans="1:7" x14ac:dyDescent="0.15">
      <c r="A39" t="s">
        <v>4</v>
      </c>
      <c r="C39" s="24"/>
      <c r="D39" s="24"/>
      <c r="E39" s="24"/>
      <c r="F39" s="24"/>
      <c r="G39" s="31"/>
    </row>
    <row r="40" spans="1:7" x14ac:dyDescent="0.15">
      <c r="A40" s="1" t="s">
        <v>1</v>
      </c>
      <c r="B40" s="1" t="s">
        <v>2</v>
      </c>
      <c r="C40" s="25" t="s">
        <v>6</v>
      </c>
      <c r="D40" s="25" t="s">
        <v>7</v>
      </c>
      <c r="E40" s="25" t="s">
        <v>8</v>
      </c>
      <c r="F40" s="25" t="s">
        <v>5</v>
      </c>
      <c r="G40" s="31"/>
    </row>
    <row r="41" spans="1:7" x14ac:dyDescent="0.15">
      <c r="A41" t="s">
        <v>3</v>
      </c>
      <c r="B41" t="s">
        <v>0</v>
      </c>
      <c r="C41" s="24">
        <v>12386304</v>
      </c>
      <c r="D41" s="27">
        <v>12937842</v>
      </c>
      <c r="E41" s="27">
        <f>表9_15161718242930313221108161[[#This Row],[Core Cyc'#/Frame]]*30/1000/1000</f>
        <v>371.58911999999998</v>
      </c>
      <c r="F41" s="24">
        <v>19</v>
      </c>
      <c r="G41" s="31"/>
    </row>
    <row r="42" spans="1:7" x14ac:dyDescent="0.15">
      <c r="B42" t="s">
        <v>9</v>
      </c>
      <c r="C42" s="24">
        <v>13139968</v>
      </c>
      <c r="D42" s="27">
        <v>13679386</v>
      </c>
      <c r="E42" s="27">
        <f>表9_15161718242930313221108161[[#This Row],[Core Cyc'#/Frame]]*30/1000/1000</f>
        <v>394.19903999999997</v>
      </c>
      <c r="F42" s="24">
        <v>30</v>
      </c>
      <c r="G42" s="31"/>
    </row>
    <row r="43" spans="1:7" x14ac:dyDescent="0.15">
      <c r="B43" t="s">
        <v>10</v>
      </c>
      <c r="C43" s="24">
        <v>13205504</v>
      </c>
      <c r="D43" s="27">
        <v>13742294</v>
      </c>
      <c r="E43" s="27">
        <f>表9_15161718242930313221108161[[#This Row],[Core Cyc'#/Frame]]*30/1000/1000</f>
        <v>396.16512</v>
      </c>
      <c r="F43" s="24">
        <v>38</v>
      </c>
      <c r="G43" s="31"/>
    </row>
    <row r="44" spans="1:7" x14ac:dyDescent="0.15">
      <c r="B44" t="s">
        <v>111</v>
      </c>
      <c r="C44" s="24">
        <v>13205504</v>
      </c>
      <c r="D44" s="27">
        <v>13769342</v>
      </c>
      <c r="E44" s="27">
        <f>表9_15161718242930313221108161[[#This Row],[Core Cyc'#/Frame]]*30/1000/1000</f>
        <v>396.16512</v>
      </c>
      <c r="F44" s="24">
        <v>30</v>
      </c>
      <c r="G44" s="31"/>
    </row>
    <row r="45" spans="1:7" x14ac:dyDescent="0.15">
      <c r="B45" t="s">
        <v>110</v>
      </c>
      <c r="C45" s="24">
        <v>13205504</v>
      </c>
      <c r="D45" s="27">
        <v>13734563</v>
      </c>
      <c r="E45" s="27">
        <f>表9_15161718242930313221108161[[#This Row],[Core Cyc'#/Frame]]*30/1000/1000</f>
        <v>396.16512</v>
      </c>
      <c r="F45" s="24">
        <v>38</v>
      </c>
      <c r="G45" s="31"/>
    </row>
    <row r="46" spans="1:7" x14ac:dyDescent="0.15">
      <c r="B46" t="s">
        <v>9</v>
      </c>
      <c r="C46" s="24">
        <v>13041664</v>
      </c>
      <c r="D46" s="27">
        <v>13592406</v>
      </c>
      <c r="E46" s="27">
        <f>表9_15161718242930313221108161[[#This Row],[Core Cyc'#/Frame]]*30/1000/1000</f>
        <v>391.24991999999997</v>
      </c>
      <c r="F46" s="24">
        <v>30</v>
      </c>
      <c r="G46" s="31"/>
    </row>
    <row r="47" spans="1:7" x14ac:dyDescent="0.15">
      <c r="A47" s="3" t="s">
        <v>127</v>
      </c>
      <c r="B47" s="4"/>
      <c r="C47" s="26"/>
      <c r="D47" s="29"/>
      <c r="E47" s="28"/>
      <c r="F47" s="26"/>
      <c r="G47" s="31"/>
    </row>
    <row r="48" spans="1:7" x14ac:dyDescent="0.15">
      <c r="A48" t="s">
        <v>4</v>
      </c>
      <c r="C48" s="24"/>
      <c r="D48" s="24"/>
      <c r="E48" s="24"/>
      <c r="F48" s="24"/>
      <c r="G48" s="31"/>
    </row>
    <row r="49" spans="1:7" x14ac:dyDescent="0.15">
      <c r="A49" s="1" t="s">
        <v>1</v>
      </c>
      <c r="B49" s="1" t="s">
        <v>2</v>
      </c>
      <c r="C49" s="25" t="s">
        <v>6</v>
      </c>
      <c r="D49" s="25" t="s">
        <v>7</v>
      </c>
      <c r="E49" s="25" t="s">
        <v>8</v>
      </c>
      <c r="F49" s="25" t="s">
        <v>5</v>
      </c>
      <c r="G49" s="31"/>
    </row>
    <row r="50" spans="1:7" x14ac:dyDescent="0.15">
      <c r="A50" t="s">
        <v>3</v>
      </c>
      <c r="B50" t="s">
        <v>0</v>
      </c>
      <c r="C50" s="24">
        <v>12386304</v>
      </c>
      <c r="D50" s="27">
        <v>12931181</v>
      </c>
      <c r="E50" s="27">
        <f>表9_151617182429303132237116169[[#This Row],[Core Cyc'#/Frame]]*30/1000/1000</f>
        <v>371.58911999999998</v>
      </c>
      <c r="F50" s="24">
        <v>19</v>
      </c>
      <c r="G50" s="31"/>
    </row>
    <row r="51" spans="1:7" x14ac:dyDescent="0.15">
      <c r="B51" t="s">
        <v>9</v>
      </c>
      <c r="C51" s="24">
        <v>13107200</v>
      </c>
      <c r="D51" s="27">
        <v>13659937</v>
      </c>
      <c r="E51" s="27">
        <f>表9_151617182429303132237116169[[#This Row],[Core Cyc'#/Frame]]*30/1000/1000</f>
        <v>393.21600000000001</v>
      </c>
      <c r="F51" s="24">
        <v>30</v>
      </c>
      <c r="G51" s="31"/>
    </row>
    <row r="52" spans="1:7" x14ac:dyDescent="0.15">
      <c r="B52" t="s">
        <v>10</v>
      </c>
      <c r="C52" s="24">
        <v>13139968</v>
      </c>
      <c r="D52" s="27">
        <v>13683261</v>
      </c>
      <c r="E52" s="27">
        <f>表9_151617182429303132237116169[[#This Row],[Core Cyc'#/Frame]]*30/1000/1000</f>
        <v>394.19903999999997</v>
      </c>
      <c r="F52" s="24">
        <v>38</v>
      </c>
      <c r="G52" s="31"/>
    </row>
    <row r="53" spans="1:7" x14ac:dyDescent="0.15">
      <c r="B53" t="s">
        <v>111</v>
      </c>
      <c r="C53" s="24">
        <v>13205504</v>
      </c>
      <c r="D53" s="27">
        <v>13746485</v>
      </c>
      <c r="E53" s="27">
        <f>表9_151617182429303132237116169[[#This Row],[Core Cyc'#/Frame]]*30/1000/1000</f>
        <v>396.16512</v>
      </c>
      <c r="F53" s="24">
        <v>30</v>
      </c>
      <c r="G53" s="31"/>
    </row>
    <row r="54" spans="1:7" x14ac:dyDescent="0.15">
      <c r="B54" t="s">
        <v>110</v>
      </c>
      <c r="C54" s="24">
        <v>13139968</v>
      </c>
      <c r="D54" s="27">
        <v>13684532</v>
      </c>
      <c r="E54" s="27">
        <f>表9_151617182429303132237116169[[#This Row],[Core Cyc'#/Frame]]*30/1000/1000</f>
        <v>394.19903999999997</v>
      </c>
      <c r="F54" s="24">
        <v>38</v>
      </c>
      <c r="G54" s="31"/>
    </row>
    <row r="55" spans="1:7" x14ac:dyDescent="0.15">
      <c r="B55" t="s">
        <v>9</v>
      </c>
      <c r="C55" s="24">
        <v>13008896</v>
      </c>
      <c r="D55" s="27">
        <v>13569233</v>
      </c>
      <c r="E55" s="27">
        <f>表9_151617182429303132237116169[[#This Row],[Core Cyc'#/Frame]]*30/1000/1000</f>
        <v>390.26688000000001</v>
      </c>
      <c r="F55" s="24">
        <v>30</v>
      </c>
      <c r="G55" s="31"/>
    </row>
    <row r="56" spans="1:7" x14ac:dyDescent="0.15">
      <c r="C56" s="24"/>
      <c r="D56" s="27"/>
      <c r="E56" s="27"/>
      <c r="F56" s="24"/>
      <c r="G56" s="31"/>
    </row>
    <row r="57" spans="1:7" x14ac:dyDescent="0.15">
      <c r="A57" s="3" t="s">
        <v>128</v>
      </c>
      <c r="B57" s="4"/>
      <c r="C57" s="26"/>
      <c r="D57" s="29"/>
      <c r="E57" s="28"/>
      <c r="F57" s="26"/>
      <c r="G57" s="31"/>
    </row>
    <row r="58" spans="1:7" x14ac:dyDescent="0.15">
      <c r="A58" t="s">
        <v>4</v>
      </c>
      <c r="C58" s="24"/>
      <c r="D58" s="24"/>
      <c r="E58" s="24"/>
      <c r="F58" s="24"/>
      <c r="G58" s="31"/>
    </row>
    <row r="59" spans="1:7" x14ac:dyDescent="0.15">
      <c r="A59" s="1" t="s">
        <v>1</v>
      </c>
      <c r="B59" s="1" t="s">
        <v>2</v>
      </c>
      <c r="C59" s="25" t="s">
        <v>6</v>
      </c>
      <c r="D59" s="25" t="s">
        <v>7</v>
      </c>
      <c r="E59" s="25" t="s">
        <v>8</v>
      </c>
      <c r="F59" s="25" t="s">
        <v>5</v>
      </c>
      <c r="G59" s="31"/>
    </row>
    <row r="60" spans="1:7" x14ac:dyDescent="0.15">
      <c r="A60" t="s">
        <v>3</v>
      </c>
      <c r="B60" t="s">
        <v>0</v>
      </c>
      <c r="C60" s="24">
        <v>12386304</v>
      </c>
      <c r="D60" s="27">
        <v>12931181</v>
      </c>
      <c r="E60" s="27">
        <f>表9_15161718242930313221653120173[[#This Row],[Core Cyc'#/Frame]]*30/1000/1000</f>
        <v>371.58911999999998</v>
      </c>
      <c r="F60" s="24">
        <v>19</v>
      </c>
      <c r="G60" s="31"/>
    </row>
    <row r="61" spans="1:7" x14ac:dyDescent="0.15">
      <c r="B61" t="s">
        <v>9</v>
      </c>
      <c r="C61" s="24">
        <v>13107200</v>
      </c>
      <c r="D61" s="27">
        <v>13659937</v>
      </c>
      <c r="E61" s="27">
        <f>表9_15161718242930313221653120173[[#This Row],[Core Cyc'#/Frame]]*30/1000/1000</f>
        <v>393.21600000000001</v>
      </c>
      <c r="F61" s="24">
        <v>30</v>
      </c>
      <c r="G61" s="31"/>
    </row>
    <row r="62" spans="1:7" x14ac:dyDescent="0.15">
      <c r="B62" t="s">
        <v>10</v>
      </c>
      <c r="C62" s="24">
        <v>13139968</v>
      </c>
      <c r="D62" s="27">
        <v>13674229</v>
      </c>
      <c r="E62" s="27">
        <f>表9_15161718242930313221653120173[[#This Row],[Core Cyc'#/Frame]]*30/1000/1000</f>
        <v>394.19903999999997</v>
      </c>
      <c r="F62" s="24">
        <v>38</v>
      </c>
      <c r="G62" s="31"/>
    </row>
    <row r="63" spans="1:7" x14ac:dyDescent="0.15">
      <c r="B63" t="s">
        <v>9</v>
      </c>
      <c r="C63" s="24">
        <v>13205504</v>
      </c>
      <c r="D63" s="27">
        <v>13746485</v>
      </c>
      <c r="E63" s="27">
        <f>表9_15161718242930313221653120173[[#This Row],[Core Cyc'#/Frame]]*30/1000/1000</f>
        <v>396.16512</v>
      </c>
      <c r="F63" s="24">
        <v>30</v>
      </c>
      <c r="G63" s="31"/>
    </row>
    <row r="64" spans="1:7" x14ac:dyDescent="0.15">
      <c r="B64" t="s">
        <v>10</v>
      </c>
      <c r="C64" s="24">
        <v>13139968</v>
      </c>
      <c r="D64" s="27">
        <v>13684532</v>
      </c>
      <c r="E64" s="27">
        <f>表9_15161718242930313221653120173[[#This Row],[Core Cyc'#/Frame]]*30/1000/1000</f>
        <v>394.19903999999997</v>
      </c>
      <c r="F64" s="24">
        <v>38</v>
      </c>
      <c r="G64" s="31"/>
    </row>
    <row r="65" spans="1:7" x14ac:dyDescent="0.15">
      <c r="B65" t="s">
        <v>111</v>
      </c>
      <c r="C65" s="24">
        <v>13008896</v>
      </c>
      <c r="D65" s="27">
        <v>13560201</v>
      </c>
      <c r="E65" s="27">
        <f>表9_15161718242930313221653120173[[#This Row],[Core Cyc'#/Frame]]*30/1000/1000</f>
        <v>390.26688000000001</v>
      </c>
      <c r="F65" s="24">
        <v>30</v>
      </c>
      <c r="G65" s="31"/>
    </row>
    <row r="66" spans="1:7" ht="20.25" x14ac:dyDescent="0.25">
      <c r="A66" s="99" t="s">
        <v>129</v>
      </c>
      <c r="B66" s="100"/>
      <c r="C66" s="100"/>
      <c r="D66" s="100"/>
      <c r="E66" s="100"/>
      <c r="F66" s="100"/>
      <c r="G66" s="31"/>
    </row>
    <row r="67" spans="1:7" x14ac:dyDescent="0.15">
      <c r="A67" s="7"/>
      <c r="B67" s="7"/>
      <c r="C67" s="32"/>
      <c r="D67" s="32"/>
      <c r="E67" s="32"/>
      <c r="F67" s="32"/>
      <c r="G67" s="31"/>
    </row>
    <row r="68" spans="1:7" x14ac:dyDescent="0.15">
      <c r="A68" s="3" t="s">
        <v>130</v>
      </c>
      <c r="B68" s="4"/>
      <c r="C68" s="26"/>
      <c r="D68" s="29"/>
      <c r="E68" s="28"/>
      <c r="F68" s="26"/>
      <c r="G68" s="31"/>
    </row>
    <row r="69" spans="1:7" x14ac:dyDescent="0.15">
      <c r="A69" t="s">
        <v>4</v>
      </c>
      <c r="C69" s="24"/>
      <c r="D69" s="24"/>
      <c r="E69" s="24"/>
      <c r="F69" s="24"/>
      <c r="G69" s="31"/>
    </row>
    <row r="70" spans="1:7" x14ac:dyDescent="0.15">
      <c r="A70" s="1" t="s">
        <v>1</v>
      </c>
      <c r="B70" s="1" t="s">
        <v>2</v>
      </c>
      <c r="C70" s="25" t="s">
        <v>6</v>
      </c>
      <c r="D70" s="25" t="s">
        <v>7</v>
      </c>
      <c r="E70" s="25" t="s">
        <v>8</v>
      </c>
      <c r="F70" s="25" t="s">
        <v>5</v>
      </c>
      <c r="G70" s="31"/>
    </row>
    <row r="71" spans="1:7" x14ac:dyDescent="0.15">
      <c r="A71" t="s">
        <v>3</v>
      </c>
      <c r="B71" t="s">
        <v>0</v>
      </c>
      <c r="C71" s="24">
        <v>17465344</v>
      </c>
      <c r="D71" s="24">
        <v>18023765</v>
      </c>
      <c r="E71" s="27">
        <f>表9_1516171824293031323334353926112165[[#This Row],[Core Cyc'#/Frame]]*30/1000/1000</f>
        <v>523.96032000000002</v>
      </c>
      <c r="F71" s="24">
        <v>19</v>
      </c>
      <c r="G71" s="31"/>
    </row>
    <row r="72" spans="1:7" x14ac:dyDescent="0.15">
      <c r="B72" t="s">
        <v>9</v>
      </c>
      <c r="C72" s="24">
        <v>22413312</v>
      </c>
      <c r="D72" s="27">
        <v>22958705</v>
      </c>
      <c r="E72" s="27">
        <f>表9_1516171824293031323334353926112165[[#This Row],[Core Cyc'#/Frame]]*30/1000/1000</f>
        <v>672.39936</v>
      </c>
      <c r="F72" s="24">
        <v>30</v>
      </c>
      <c r="G72" s="31"/>
    </row>
    <row r="73" spans="1:7" x14ac:dyDescent="0.15">
      <c r="B73" t="s">
        <v>10</v>
      </c>
      <c r="C73" s="24">
        <v>26542080</v>
      </c>
      <c r="D73" s="24">
        <v>27076897</v>
      </c>
      <c r="E73" s="27">
        <f>表9_1516171824293031323334353926112165[[#This Row],[Core Cyc'#/Frame]]*30/1000/1000</f>
        <v>796.26240000000007</v>
      </c>
      <c r="F73" s="24">
        <v>38</v>
      </c>
      <c r="G73" s="31"/>
    </row>
    <row r="74" spans="1:7" x14ac:dyDescent="0.15">
      <c r="A74" s="3" t="s">
        <v>131</v>
      </c>
      <c r="B74" s="4"/>
      <c r="C74" s="26"/>
      <c r="D74" s="29"/>
      <c r="E74" s="28"/>
      <c r="F74" s="26"/>
      <c r="G74" s="31"/>
    </row>
    <row r="75" spans="1:7" x14ac:dyDescent="0.15">
      <c r="A75" t="s">
        <v>4</v>
      </c>
      <c r="C75" s="24"/>
      <c r="D75" s="24"/>
      <c r="E75" s="24"/>
      <c r="F75" s="24"/>
      <c r="G75" s="31"/>
    </row>
    <row r="76" spans="1:7" x14ac:dyDescent="0.15">
      <c r="A76" s="1" t="s">
        <v>1</v>
      </c>
      <c r="B76" s="1" t="s">
        <v>2</v>
      </c>
      <c r="C76" s="25" t="s">
        <v>6</v>
      </c>
      <c r="D76" s="25" t="s">
        <v>7</v>
      </c>
      <c r="E76" s="25" t="s">
        <v>8</v>
      </c>
      <c r="F76" s="25" t="s">
        <v>5</v>
      </c>
      <c r="G76" s="31"/>
    </row>
    <row r="77" spans="1:7" x14ac:dyDescent="0.15">
      <c r="A77" t="s">
        <v>3</v>
      </c>
      <c r="B77" t="s">
        <v>0</v>
      </c>
      <c r="C77" s="24">
        <v>12713984</v>
      </c>
      <c r="D77" s="24">
        <v>13270261</v>
      </c>
      <c r="E77" s="27">
        <f>表9_1516171824293031323325111164[[#This Row],[Core Cyc'#/Frame]]*30/1000/1000</f>
        <v>381.41952000000003</v>
      </c>
      <c r="F77" s="24">
        <v>19</v>
      </c>
      <c r="G77" s="31"/>
    </row>
    <row r="78" spans="1:7" x14ac:dyDescent="0.15">
      <c r="B78" t="s">
        <v>9</v>
      </c>
      <c r="C78" s="24">
        <v>15433728</v>
      </c>
      <c r="D78" s="24">
        <v>15980473</v>
      </c>
      <c r="E78" s="27">
        <f>表9_1516171824293031323325111164[[#This Row],[Core Cyc'#/Frame]]*30/1000/1000</f>
        <v>463.01184000000001</v>
      </c>
      <c r="F78" s="24">
        <v>30</v>
      </c>
      <c r="G78" s="31"/>
    </row>
    <row r="79" spans="1:7" x14ac:dyDescent="0.15">
      <c r="B79" t="s">
        <v>92</v>
      </c>
      <c r="C79" s="24">
        <v>17989632</v>
      </c>
      <c r="D79" s="27">
        <v>18531801</v>
      </c>
      <c r="E79" s="27">
        <f>表9_1516171824293031323325111164[[#This Row],[Core Cyc'#/Frame]]*30/1000/1000</f>
        <v>539.68895999999995</v>
      </c>
      <c r="F79" s="24">
        <v>38</v>
      </c>
      <c r="G79" s="31"/>
    </row>
    <row r="80" spans="1:7" x14ac:dyDescent="0.15">
      <c r="B80" t="s">
        <v>91</v>
      </c>
      <c r="C80" s="24">
        <v>15499264</v>
      </c>
      <c r="D80" s="27">
        <v>16043385</v>
      </c>
      <c r="E80" s="27">
        <f>表9_1516171824293031323325111164[[#This Row],[Core Cyc'#/Frame]]*30/1000/1000</f>
        <v>464.97791999999998</v>
      </c>
      <c r="F80" s="24">
        <v>30</v>
      </c>
      <c r="G80" s="31"/>
    </row>
    <row r="81" spans="1:7" x14ac:dyDescent="0.15">
      <c r="B81" t="s">
        <v>110</v>
      </c>
      <c r="C81" s="24">
        <v>18087936</v>
      </c>
      <c r="D81" s="27">
        <v>18642387</v>
      </c>
      <c r="E81" s="27">
        <f>表9_1516171824293031323325111164[[#This Row],[Core Cyc'#/Frame]]*30/1000/1000</f>
        <v>542.63807999999995</v>
      </c>
      <c r="F81" s="24">
        <v>38</v>
      </c>
      <c r="G81" s="31"/>
    </row>
    <row r="82" spans="1:7" x14ac:dyDescent="0.15">
      <c r="A82" s="3" t="s">
        <v>132</v>
      </c>
      <c r="B82" s="4"/>
      <c r="C82" s="26"/>
      <c r="D82" s="29"/>
      <c r="E82" s="28"/>
      <c r="F82" s="26"/>
      <c r="G82" s="31"/>
    </row>
    <row r="83" spans="1:7" x14ac:dyDescent="0.15">
      <c r="A83" t="s">
        <v>4</v>
      </c>
      <c r="C83" s="24"/>
      <c r="D83" s="24"/>
      <c r="E83" s="24"/>
      <c r="F83" s="24"/>
      <c r="G83" s="31"/>
    </row>
    <row r="84" spans="1:7" x14ac:dyDescent="0.15">
      <c r="A84" s="1" t="s">
        <v>1</v>
      </c>
      <c r="B84" s="1" t="s">
        <v>2</v>
      </c>
      <c r="C84" s="25" t="s">
        <v>6</v>
      </c>
      <c r="D84" s="25" t="s">
        <v>7</v>
      </c>
      <c r="E84" s="25" t="s">
        <v>8</v>
      </c>
      <c r="F84" s="25" t="s">
        <v>5</v>
      </c>
      <c r="G84" s="31"/>
    </row>
    <row r="85" spans="1:7" x14ac:dyDescent="0.15">
      <c r="A85" t="s">
        <v>3</v>
      </c>
      <c r="B85" t="s">
        <v>0</v>
      </c>
      <c r="C85" s="24">
        <v>12419072</v>
      </c>
      <c r="D85" s="24">
        <v>12955813</v>
      </c>
      <c r="E85" s="27">
        <f>表9_151617182429303132333422109162[[#This Row],[Core Cyc'#/Frame]]*30/1000/1000</f>
        <v>372.57216</v>
      </c>
      <c r="F85" s="24">
        <v>19</v>
      </c>
      <c r="G85" s="31"/>
    </row>
    <row r="86" spans="1:7" x14ac:dyDescent="0.15">
      <c r="B86" t="s">
        <v>9</v>
      </c>
      <c r="C86" s="24">
        <v>13467648</v>
      </c>
      <c r="D86" s="24">
        <v>14024001</v>
      </c>
      <c r="E86" s="27">
        <f>表9_151617182429303132333422109162[[#This Row],[Core Cyc'#/Frame]]*30/1000/1000</f>
        <v>404.02944000000002</v>
      </c>
      <c r="F86" s="24">
        <v>30</v>
      </c>
      <c r="G86" s="31"/>
    </row>
    <row r="87" spans="1:7" x14ac:dyDescent="0.15">
      <c r="B87" t="s">
        <v>10</v>
      </c>
      <c r="C87" s="24">
        <v>14155776</v>
      </c>
      <c r="D87" s="24">
        <v>14709017</v>
      </c>
      <c r="E87" s="27">
        <f>表9_151617182429303132333422109162[[#This Row],[Core Cyc'#/Frame]]*30/1000/1000</f>
        <v>424.67328000000003</v>
      </c>
      <c r="F87" s="24">
        <v>38</v>
      </c>
      <c r="G87" s="31"/>
    </row>
    <row r="88" spans="1:7" x14ac:dyDescent="0.15">
      <c r="B88" t="s">
        <v>9</v>
      </c>
      <c r="C88" s="24">
        <v>13565952</v>
      </c>
      <c r="D88" s="24">
        <v>14003961</v>
      </c>
      <c r="E88" s="27">
        <f>表9_151617182429303132333422109162[[#This Row],[Core Cyc'#/Frame]]*30/1000/1000</f>
        <v>406.97856000000002</v>
      </c>
      <c r="F88" s="24">
        <v>30</v>
      </c>
      <c r="G88" s="31"/>
    </row>
    <row r="89" spans="1:7" x14ac:dyDescent="0.15">
      <c r="B89" t="s">
        <v>92</v>
      </c>
      <c r="C89" s="24">
        <v>14155776</v>
      </c>
      <c r="D89" s="27">
        <v>14719315</v>
      </c>
      <c r="E89" s="27">
        <f>表9_151617182429303132333422109162[[#This Row],[Core Cyc'#/Frame]]*30/1000/1000</f>
        <v>424.67328000000003</v>
      </c>
      <c r="F89" s="24">
        <v>38</v>
      </c>
      <c r="G89" s="31"/>
    </row>
    <row r="90" spans="1:7" x14ac:dyDescent="0.15">
      <c r="B90" t="s">
        <v>91</v>
      </c>
      <c r="C90" s="24">
        <v>13434880</v>
      </c>
      <c r="D90" s="27">
        <v>13975881</v>
      </c>
      <c r="E90" s="27">
        <f>表9_151617182429303132333422109162[[#This Row],[Core Cyc'#/Frame]]*30/1000/1000</f>
        <v>403.04640000000001</v>
      </c>
      <c r="F90" s="24">
        <v>30</v>
      </c>
      <c r="G90" s="31"/>
    </row>
    <row r="91" spans="1:7" x14ac:dyDescent="0.15">
      <c r="A91" s="3" t="s">
        <v>133</v>
      </c>
      <c r="B91" s="4"/>
      <c r="C91" s="26"/>
      <c r="D91" s="29"/>
      <c r="E91" s="28"/>
      <c r="F91" s="26"/>
      <c r="G91" s="31"/>
    </row>
    <row r="92" spans="1:7" x14ac:dyDescent="0.15">
      <c r="A92" t="s">
        <v>4</v>
      </c>
      <c r="C92" s="24"/>
      <c r="D92" s="24"/>
      <c r="E92" s="24"/>
      <c r="F92" s="24"/>
      <c r="G92" s="31"/>
    </row>
    <row r="93" spans="1:7" x14ac:dyDescent="0.15">
      <c r="A93" s="1" t="s">
        <v>1</v>
      </c>
      <c r="B93" s="1" t="s">
        <v>2</v>
      </c>
      <c r="C93" s="25" t="s">
        <v>6</v>
      </c>
      <c r="D93" s="25" t="s">
        <v>7</v>
      </c>
      <c r="E93" s="25" t="s">
        <v>8</v>
      </c>
      <c r="F93" s="25" t="s">
        <v>5</v>
      </c>
      <c r="G93" s="31"/>
    </row>
    <row r="94" spans="1:7" x14ac:dyDescent="0.15">
      <c r="A94" t="s">
        <v>3</v>
      </c>
      <c r="B94" t="s">
        <v>0</v>
      </c>
      <c r="C94" s="24">
        <v>12386304</v>
      </c>
      <c r="D94" s="24">
        <v>12937781</v>
      </c>
      <c r="E94" s="27">
        <f>表9_15161718242930313233343523110163[[#This Row],[Core Cyc'#/Frame]]*30/1000/1000</f>
        <v>371.58911999999998</v>
      </c>
      <c r="F94" s="24">
        <v>19</v>
      </c>
      <c r="G94" s="31"/>
    </row>
    <row r="95" spans="1:7" x14ac:dyDescent="0.15">
      <c r="B95" t="s">
        <v>9</v>
      </c>
      <c r="C95" s="24">
        <v>13205504</v>
      </c>
      <c r="D95" s="24">
        <v>13751449</v>
      </c>
      <c r="E95" s="27">
        <f>表9_15161718242930313233343523110163[[#This Row],[Core Cyc'#/Frame]]*30/1000/1000</f>
        <v>396.16512</v>
      </c>
      <c r="F95" s="24">
        <v>30</v>
      </c>
      <c r="G95" s="31"/>
    </row>
    <row r="96" spans="1:7" x14ac:dyDescent="0.15">
      <c r="B96" t="s">
        <v>10</v>
      </c>
      <c r="C96" s="24">
        <v>13336576</v>
      </c>
      <c r="D96" s="24">
        <v>13869417</v>
      </c>
      <c r="E96" s="27">
        <f>表9_15161718242930313233343523110163[[#This Row],[Core Cyc'#/Frame]]*30/1000/1000</f>
        <v>400.09728000000001</v>
      </c>
      <c r="F96" s="24">
        <v>38</v>
      </c>
      <c r="G96" s="31"/>
    </row>
    <row r="97" spans="1:7" x14ac:dyDescent="0.15">
      <c r="B97" t="s">
        <v>9</v>
      </c>
      <c r="C97" s="24">
        <v>13303808</v>
      </c>
      <c r="D97" s="24">
        <v>13832393</v>
      </c>
      <c r="E97" s="27">
        <f>表9_15161718242930313233343523110163[[#This Row],[Core Cyc'#/Frame]]*30/1000/1000</f>
        <v>399.11424</v>
      </c>
      <c r="F97" s="24">
        <v>30</v>
      </c>
      <c r="G97" s="31"/>
    </row>
    <row r="98" spans="1:7" x14ac:dyDescent="0.15">
      <c r="B98" t="s">
        <v>92</v>
      </c>
      <c r="C98" s="24">
        <v>13336576</v>
      </c>
      <c r="D98" s="27">
        <v>13879715</v>
      </c>
      <c r="E98" s="27">
        <f>表9_15161718242930313233343523110163[[#This Row],[Core Cyc'#/Frame]]*30/1000/1000</f>
        <v>400.09728000000001</v>
      </c>
      <c r="F98" s="24">
        <v>38</v>
      </c>
      <c r="G98" s="31"/>
    </row>
    <row r="99" spans="1:7" x14ac:dyDescent="0.15">
      <c r="B99" t="s">
        <v>91</v>
      </c>
      <c r="C99" s="24">
        <v>13139968</v>
      </c>
      <c r="D99" s="27">
        <v>13679313</v>
      </c>
      <c r="E99" s="27">
        <f>表9_15161718242930313233343523110163[[#This Row],[Core Cyc'#/Frame]]*30/1000/1000</f>
        <v>394.19903999999997</v>
      </c>
      <c r="F99" s="24">
        <v>30</v>
      </c>
      <c r="G99" s="31"/>
    </row>
    <row r="100" spans="1:7" x14ac:dyDescent="0.15">
      <c r="A100" s="3" t="s">
        <v>134</v>
      </c>
      <c r="B100" s="4"/>
      <c r="C100" s="26"/>
      <c r="D100" s="29"/>
      <c r="E100" s="28"/>
      <c r="F100" s="26"/>
      <c r="G100" s="31"/>
    </row>
    <row r="101" spans="1:7" x14ac:dyDescent="0.15">
      <c r="A101" t="s">
        <v>4</v>
      </c>
      <c r="C101" s="24"/>
      <c r="D101" s="24"/>
      <c r="E101" s="24"/>
      <c r="F101" s="24"/>
      <c r="G101" s="31"/>
    </row>
    <row r="102" spans="1:7" x14ac:dyDescent="0.15">
      <c r="A102" s="1" t="s">
        <v>1</v>
      </c>
      <c r="B102" s="1" t="s">
        <v>2</v>
      </c>
      <c r="C102" s="25" t="s">
        <v>6</v>
      </c>
      <c r="D102" s="25" t="s">
        <v>7</v>
      </c>
      <c r="E102" s="25" t="s">
        <v>8</v>
      </c>
      <c r="F102" s="25" t="s">
        <v>5</v>
      </c>
      <c r="G102" s="31"/>
    </row>
    <row r="103" spans="1:7" x14ac:dyDescent="0.15">
      <c r="A103" t="s">
        <v>3</v>
      </c>
      <c r="B103" t="s">
        <v>0</v>
      </c>
      <c r="C103" s="24">
        <v>12386304</v>
      </c>
      <c r="D103" s="24">
        <v>12937781</v>
      </c>
      <c r="E103" s="27">
        <f>表9_151617182429303132333435438117170[[#This Row],[Core Cyc'#/Frame]]*30/1000/1000</f>
        <v>371.58911999999998</v>
      </c>
      <c r="F103" s="24">
        <v>19</v>
      </c>
      <c r="G103" s="31"/>
    </row>
    <row r="104" spans="1:7" x14ac:dyDescent="0.15">
      <c r="B104" t="s">
        <v>9</v>
      </c>
      <c r="C104" s="24">
        <v>13139968</v>
      </c>
      <c r="D104" s="24">
        <v>13679321</v>
      </c>
      <c r="E104" s="27">
        <f>表9_151617182429303132333435438117170[[#This Row],[Core Cyc'#/Frame]]*30/1000/1000</f>
        <v>394.19903999999997</v>
      </c>
      <c r="F104" s="24">
        <v>30</v>
      </c>
      <c r="G104" s="31"/>
    </row>
    <row r="105" spans="1:7" x14ac:dyDescent="0.15">
      <c r="B105" t="s">
        <v>10</v>
      </c>
      <c r="C105" s="24">
        <v>13139968</v>
      </c>
      <c r="D105" s="24">
        <v>13697153</v>
      </c>
      <c r="E105" s="27">
        <f>表9_151617182429303132333435438117170[[#This Row],[Core Cyc'#/Frame]]*30/1000/1000</f>
        <v>394.19903999999997</v>
      </c>
      <c r="F105" s="24">
        <v>38</v>
      </c>
      <c r="G105" s="31"/>
    </row>
    <row r="106" spans="1:7" x14ac:dyDescent="0.15">
      <c r="B106" t="s">
        <v>9</v>
      </c>
      <c r="C106" s="24">
        <v>13205504</v>
      </c>
      <c r="D106" s="24">
        <v>13760265</v>
      </c>
      <c r="E106" s="27">
        <f>表9_151617182429303132333435438117170[[#This Row],[Core Cyc'#/Frame]]*30/1000/1000</f>
        <v>396.16512</v>
      </c>
      <c r="F106" s="24">
        <v>30</v>
      </c>
      <c r="G106" s="31"/>
    </row>
    <row r="107" spans="1:7" x14ac:dyDescent="0.15">
      <c r="B107" t="s">
        <v>10</v>
      </c>
      <c r="C107" s="24">
        <v>13172736</v>
      </c>
      <c r="D107" s="24">
        <v>13707451</v>
      </c>
      <c r="E107" s="27">
        <f>表9_151617182429303132333435438117170[[#This Row],[Core Cyc'#/Frame]]*30/1000/1000</f>
        <v>395.18208000000004</v>
      </c>
      <c r="F107" s="24">
        <v>38</v>
      </c>
      <c r="G107" s="31"/>
    </row>
    <row r="108" spans="1:7" x14ac:dyDescent="0.15">
      <c r="B108" t="s">
        <v>91</v>
      </c>
      <c r="C108" s="24">
        <v>13041664</v>
      </c>
      <c r="D108" s="27">
        <v>13574305</v>
      </c>
      <c r="E108" s="27">
        <f>表9_151617182429303132333435438117170[[#This Row],[Core Cyc'#/Frame]]*30/1000/1000</f>
        <v>391.24991999999997</v>
      </c>
      <c r="F108" s="24">
        <v>30</v>
      </c>
      <c r="G108" s="31"/>
    </row>
    <row r="109" spans="1:7" x14ac:dyDescent="0.15">
      <c r="A109" s="3" t="s">
        <v>135</v>
      </c>
      <c r="B109" s="4"/>
      <c r="C109" s="26"/>
      <c r="D109" s="29"/>
      <c r="E109" s="28">
        <f>表9_151617182429303132333435438117170[[#This Row],[Core Cyc'#/Frame]]*30/1000/1000</f>
        <v>0</v>
      </c>
      <c r="F109" s="26"/>
      <c r="G109" s="31"/>
    </row>
    <row r="110" spans="1:7" x14ac:dyDescent="0.15">
      <c r="A110" t="s">
        <v>4</v>
      </c>
      <c r="C110" s="24"/>
      <c r="D110" s="24"/>
      <c r="E110" s="24"/>
      <c r="F110" s="24"/>
      <c r="G110" s="31"/>
    </row>
    <row r="111" spans="1:7" x14ac:dyDescent="0.15">
      <c r="A111" s="1" t="s">
        <v>1</v>
      </c>
      <c r="B111" s="1" t="s">
        <v>2</v>
      </c>
      <c r="C111" s="25" t="s">
        <v>6</v>
      </c>
      <c r="D111" s="25" t="s">
        <v>7</v>
      </c>
      <c r="E111" s="25" t="s">
        <v>8</v>
      </c>
      <c r="F111" s="25" t="s">
        <v>5</v>
      </c>
      <c r="G111" s="31"/>
    </row>
    <row r="112" spans="1:7" x14ac:dyDescent="0.15">
      <c r="A112" t="s">
        <v>3</v>
      </c>
      <c r="B112" t="s">
        <v>0</v>
      </c>
      <c r="C112" s="24">
        <v>12386304</v>
      </c>
      <c r="D112" s="24">
        <v>12928826</v>
      </c>
      <c r="E112" s="27">
        <f>表9_15161718242930313233343541754121174[[#This Row],[Core Cyc'#/Frame]]*30/1000/1000</f>
        <v>371.58911999999998</v>
      </c>
      <c r="F112" s="24">
        <v>19</v>
      </c>
      <c r="G112" s="31"/>
    </row>
    <row r="113" spans="1:7" x14ac:dyDescent="0.15">
      <c r="B113" t="s">
        <v>9</v>
      </c>
      <c r="C113" s="24">
        <v>13107200</v>
      </c>
      <c r="D113" s="24">
        <v>13655898</v>
      </c>
      <c r="E113" s="27">
        <f>表9_15161718242930313233343541754121174[[#This Row],[Core Cyc'#/Frame]]*30/1000/1000</f>
        <v>393.21600000000001</v>
      </c>
      <c r="F113" s="24">
        <v>30</v>
      </c>
      <c r="G113" s="31"/>
    </row>
    <row r="114" spans="1:7" x14ac:dyDescent="0.15">
      <c r="B114" t="s">
        <v>10</v>
      </c>
      <c r="C114" s="24">
        <v>13139968</v>
      </c>
      <c r="D114" s="24">
        <v>13679182</v>
      </c>
      <c r="E114" s="27">
        <f>表9_15161718242930313233343541754121174[[#This Row],[Core Cyc'#/Frame]]*30/1000/1000</f>
        <v>394.19903999999997</v>
      </c>
      <c r="F114" s="24">
        <v>38</v>
      </c>
      <c r="G114" s="31"/>
    </row>
    <row r="115" spans="1:7" x14ac:dyDescent="0.15">
      <c r="B115" t="s">
        <v>9</v>
      </c>
      <c r="C115" s="24">
        <v>13205504</v>
      </c>
      <c r="D115" s="24">
        <v>13751310</v>
      </c>
      <c r="E115" s="27">
        <f>表9_15161718242930313233343541754121174[[#This Row],[Core Cyc'#/Frame]]*30/1000/1000</f>
        <v>396.16512</v>
      </c>
      <c r="F115" s="24">
        <v>30</v>
      </c>
      <c r="G115" s="31"/>
    </row>
    <row r="116" spans="1:7" x14ac:dyDescent="0.15">
      <c r="B116" t="s">
        <v>10</v>
      </c>
      <c r="C116" s="24">
        <v>13139968</v>
      </c>
      <c r="D116" s="24">
        <v>13689483</v>
      </c>
      <c r="E116" s="27">
        <f>表9_15161718242930313233343541754121174[[#This Row],[Core Cyc'#/Frame]]*30/1000/1000</f>
        <v>394.19903999999997</v>
      </c>
      <c r="F116" s="24">
        <v>38</v>
      </c>
      <c r="G116" s="31"/>
    </row>
    <row r="117" spans="1:7" x14ac:dyDescent="0.15">
      <c r="B117" t="s">
        <v>91</v>
      </c>
      <c r="C117" s="24">
        <v>13008896</v>
      </c>
      <c r="D117" s="27">
        <v>13565358</v>
      </c>
      <c r="E117" s="27">
        <f>表9_15161718242930313233343541754121174[[#This Row],[Core Cyc'#/Frame]]*30/1000/1000</f>
        <v>390.26688000000001</v>
      </c>
      <c r="F117" s="24">
        <v>30</v>
      </c>
      <c r="G117" s="31"/>
    </row>
    <row r="118" spans="1:7" ht="20.25" x14ac:dyDescent="0.25">
      <c r="A118" s="99" t="s">
        <v>136</v>
      </c>
      <c r="B118" s="100"/>
      <c r="C118" s="100"/>
      <c r="D118" s="100"/>
      <c r="E118" s="100"/>
      <c r="F118" s="100"/>
      <c r="G118" s="31"/>
    </row>
    <row r="119" spans="1:7" x14ac:dyDescent="0.15">
      <c r="A119" s="7"/>
      <c r="B119" s="7"/>
      <c r="C119" s="32"/>
      <c r="D119" s="32"/>
      <c r="E119" s="32"/>
      <c r="F119" s="32"/>
      <c r="G119" s="31"/>
    </row>
    <row r="120" spans="1:7" x14ac:dyDescent="0.15">
      <c r="A120" s="3" t="s">
        <v>137</v>
      </c>
      <c r="B120" s="4"/>
      <c r="C120" s="26"/>
      <c r="D120" s="29"/>
      <c r="E120" s="28"/>
      <c r="F120" s="26"/>
      <c r="G120" s="31"/>
    </row>
    <row r="121" spans="1:7" x14ac:dyDescent="0.15">
      <c r="A121" t="s">
        <v>4</v>
      </c>
      <c r="C121" s="24"/>
      <c r="D121" s="24"/>
      <c r="E121" s="24"/>
      <c r="F121" s="24"/>
      <c r="G121" s="31"/>
    </row>
    <row r="122" spans="1:7" x14ac:dyDescent="0.15">
      <c r="A122" s="1" t="s">
        <v>1</v>
      </c>
      <c r="B122" s="1" t="s">
        <v>2</v>
      </c>
      <c r="C122" s="25" t="s">
        <v>6</v>
      </c>
      <c r="D122" s="25" t="s">
        <v>7</v>
      </c>
      <c r="E122" s="25" t="s">
        <v>8</v>
      </c>
      <c r="F122" s="25" t="s">
        <v>5</v>
      </c>
      <c r="G122" s="31"/>
    </row>
    <row r="123" spans="1:7" x14ac:dyDescent="0.15">
      <c r="A123" t="s">
        <v>3</v>
      </c>
      <c r="B123" t="s">
        <v>0</v>
      </c>
      <c r="C123" s="24">
        <v>22872064</v>
      </c>
      <c r="D123" s="24">
        <v>23415181</v>
      </c>
      <c r="E123" s="27">
        <f>表9_1516171824293031323334354043543118171[[#This Row],[Core Cyc'#/Frame]]*30/1000/1000</f>
        <v>686.16192000000001</v>
      </c>
      <c r="F123" s="24">
        <v>19</v>
      </c>
      <c r="G123" s="31"/>
    </row>
    <row r="124" spans="1:7" x14ac:dyDescent="0.15">
      <c r="B124" t="s">
        <v>91</v>
      </c>
      <c r="C124" s="24">
        <v>28016640</v>
      </c>
      <c r="D124" s="24">
        <v>28565209</v>
      </c>
      <c r="E124" s="27">
        <f>表9_1516171824293031323334354043543118171[[#This Row],[Core Cyc'#/Frame]]*30/1000/1000</f>
        <v>840.49919999999997</v>
      </c>
      <c r="F124" s="24">
        <v>30</v>
      </c>
      <c r="G124" s="31"/>
    </row>
    <row r="125" spans="1:7" x14ac:dyDescent="0.15">
      <c r="A125" s="3" t="s">
        <v>138</v>
      </c>
      <c r="B125" s="4"/>
      <c r="C125" s="26"/>
      <c r="D125" s="29"/>
      <c r="E125" s="28">
        <f>表9_1516171824293031323334354043543118171[[#This Row],[Core Cyc'#/Frame]]*30/1000/1000</f>
        <v>0</v>
      </c>
      <c r="F125" s="26"/>
      <c r="G125" s="31"/>
    </row>
    <row r="126" spans="1:7" x14ac:dyDescent="0.15">
      <c r="A126" t="s">
        <v>4</v>
      </c>
      <c r="C126" s="24"/>
      <c r="D126" s="24"/>
      <c r="E126" s="24"/>
      <c r="F126" s="24"/>
      <c r="G126" s="31"/>
    </row>
    <row r="127" spans="1:7" x14ac:dyDescent="0.15">
      <c r="A127" s="1" t="s">
        <v>119</v>
      </c>
      <c r="B127" s="1" t="s">
        <v>2</v>
      </c>
      <c r="C127" s="25" t="s">
        <v>6</v>
      </c>
      <c r="D127" s="25" t="s">
        <v>7</v>
      </c>
      <c r="E127" s="25" t="s">
        <v>8</v>
      </c>
      <c r="F127" s="25" t="s">
        <v>5</v>
      </c>
      <c r="G127" s="31"/>
    </row>
    <row r="128" spans="1:7" x14ac:dyDescent="0.15">
      <c r="A128" t="s">
        <v>3</v>
      </c>
      <c r="B128" t="s">
        <v>0</v>
      </c>
      <c r="C128" s="24">
        <v>15400960</v>
      </c>
      <c r="D128" s="24">
        <v>15963973</v>
      </c>
      <c r="E128" s="27">
        <f>表9_1516171824293031323334354027113166[[#This Row],[Core Cyc'#/Frame]]*30/1000/1000</f>
        <v>462.02879999999999</v>
      </c>
      <c r="F128" s="24">
        <v>19</v>
      </c>
      <c r="G128" s="31"/>
    </row>
    <row r="129" spans="1:7" x14ac:dyDescent="0.15">
      <c r="B129" t="s">
        <v>9</v>
      </c>
      <c r="C129" s="24">
        <v>19333120</v>
      </c>
      <c r="D129" s="24">
        <v>19864449</v>
      </c>
      <c r="E129" s="27">
        <f>表9_1516171824293031323334354027113166[[#This Row],[Core Cyc'#/Frame]]*30/1000/1000</f>
        <v>579.99360000000001</v>
      </c>
      <c r="F129" s="24">
        <v>30</v>
      </c>
      <c r="G129" s="31"/>
    </row>
    <row r="130" spans="1:7" x14ac:dyDescent="0.15">
      <c r="B130" t="s">
        <v>92</v>
      </c>
      <c r="C130" s="24">
        <v>22478848</v>
      </c>
      <c r="D130" s="27">
        <v>23012601</v>
      </c>
      <c r="E130" s="27">
        <f>表9_1516171824293031323334354027113166[[#This Row],[Core Cyc'#/Frame]]*30/1000/1000</f>
        <v>674.36543999999992</v>
      </c>
      <c r="F130" s="24">
        <v>38</v>
      </c>
      <c r="G130" s="31"/>
    </row>
    <row r="131" spans="1:7" x14ac:dyDescent="0.15">
      <c r="B131" t="s">
        <v>111</v>
      </c>
      <c r="C131" s="24">
        <v>19431424</v>
      </c>
      <c r="D131" s="27">
        <v>19993505</v>
      </c>
      <c r="E131" s="27">
        <f>表9_1516171824293031323334354027113166[[#This Row],[Core Cyc'#/Frame]]*30/1000/1000</f>
        <v>582.94272000000001</v>
      </c>
      <c r="F131" s="24">
        <v>30</v>
      </c>
      <c r="G131" s="31"/>
    </row>
    <row r="132" spans="1:7" x14ac:dyDescent="0.15">
      <c r="A132" s="3" t="s">
        <v>139</v>
      </c>
      <c r="B132" s="4"/>
      <c r="C132" s="26"/>
      <c r="D132" s="29"/>
      <c r="E132" s="28"/>
      <c r="F132" s="26"/>
      <c r="G132" s="31"/>
    </row>
    <row r="133" spans="1:7" x14ac:dyDescent="0.15">
      <c r="A133" t="s">
        <v>4</v>
      </c>
      <c r="C133" s="24"/>
      <c r="D133" s="24"/>
      <c r="E133" s="24"/>
      <c r="F133" s="24"/>
      <c r="G133" s="31"/>
    </row>
    <row r="134" spans="1:7" x14ac:dyDescent="0.15">
      <c r="A134" s="1" t="s">
        <v>1</v>
      </c>
      <c r="B134" s="1" t="s">
        <v>2</v>
      </c>
      <c r="C134" s="25" t="s">
        <v>6</v>
      </c>
      <c r="D134" s="25" t="s">
        <v>7</v>
      </c>
      <c r="E134" s="25" t="s">
        <v>8</v>
      </c>
      <c r="F134" s="25" t="s">
        <v>5</v>
      </c>
      <c r="G134" s="31"/>
    </row>
    <row r="135" spans="1:7" x14ac:dyDescent="0.15">
      <c r="A135" t="s">
        <v>3</v>
      </c>
      <c r="B135" t="s">
        <v>0</v>
      </c>
      <c r="C135" s="24">
        <v>12681216</v>
      </c>
      <c r="D135" s="24">
        <v>13216165</v>
      </c>
      <c r="E135" s="27">
        <f>表9_151617182429303132333435404128114167[[#This Row],[Core Cyc'#/Frame]]*30/1000/1000</f>
        <v>380.43647999999996</v>
      </c>
      <c r="F135" s="24">
        <v>19</v>
      </c>
      <c r="G135" s="31"/>
    </row>
    <row r="136" spans="1:7" x14ac:dyDescent="0.15">
      <c r="B136" t="s">
        <v>9</v>
      </c>
      <c r="C136" s="24">
        <v>15171584</v>
      </c>
      <c r="D136" s="24">
        <v>15726913</v>
      </c>
      <c r="E136" s="27">
        <f>表9_151617182429303132333435404128114167[[#This Row],[Core Cyc'#/Frame]]*30/1000/1000</f>
        <v>455.14752000000004</v>
      </c>
      <c r="F136" s="24">
        <v>30</v>
      </c>
      <c r="G136" s="31"/>
    </row>
    <row r="137" spans="1:7" x14ac:dyDescent="0.15">
      <c r="B137" t="s">
        <v>10</v>
      </c>
      <c r="C137" s="24">
        <v>17530880</v>
      </c>
      <c r="D137" s="24">
        <v>18079553</v>
      </c>
      <c r="E137" s="27">
        <f>表9_151617182429303132333435404128114167[[#This Row],[Core Cyc'#/Frame]]*30/1000/1000</f>
        <v>525.92640000000006</v>
      </c>
      <c r="F137" s="24">
        <v>38</v>
      </c>
      <c r="G137" s="31"/>
    </row>
    <row r="138" spans="1:7" x14ac:dyDescent="0.15">
      <c r="B138" t="s">
        <v>91</v>
      </c>
      <c r="C138" s="24">
        <v>15302656</v>
      </c>
      <c r="D138" s="27">
        <v>15852937</v>
      </c>
      <c r="E138" s="27">
        <f>表9_151617182429303132333435404128114167[[#This Row],[Core Cyc'#/Frame]]*30/1000/1000</f>
        <v>459.07968</v>
      </c>
      <c r="F138" s="24">
        <v>30</v>
      </c>
      <c r="G138" s="31"/>
    </row>
    <row r="139" spans="1:7" x14ac:dyDescent="0.15">
      <c r="B139" t="s">
        <v>110</v>
      </c>
      <c r="C139" s="24">
        <v>17563648</v>
      </c>
      <c r="D139" s="27">
        <v>18110443</v>
      </c>
      <c r="E139" s="27">
        <f>表9_151617182429303132333435404128114167[[#This Row],[Core Cyc'#/Frame]]*30/1000/1000</f>
        <v>526.9094399999999</v>
      </c>
      <c r="F139" s="24">
        <v>38</v>
      </c>
      <c r="G139" s="31"/>
    </row>
    <row r="140" spans="1:7" x14ac:dyDescent="0.15">
      <c r="A140" s="3" t="s">
        <v>140</v>
      </c>
      <c r="B140" s="4"/>
      <c r="C140" s="26"/>
      <c r="D140" s="29"/>
      <c r="E140" s="28"/>
      <c r="F140" s="26"/>
      <c r="G140" s="31"/>
    </row>
    <row r="141" spans="1:7" x14ac:dyDescent="0.15">
      <c r="A141" t="s">
        <v>4</v>
      </c>
      <c r="C141" s="24"/>
      <c r="D141" s="24"/>
      <c r="E141" s="24"/>
      <c r="F141" s="24"/>
      <c r="G141" s="31"/>
    </row>
    <row r="142" spans="1:7" x14ac:dyDescent="0.15">
      <c r="A142" s="1" t="s">
        <v>1</v>
      </c>
      <c r="B142" s="1" t="s">
        <v>2</v>
      </c>
      <c r="C142" s="25" t="s">
        <v>6</v>
      </c>
      <c r="D142" s="25" t="s">
        <v>7</v>
      </c>
      <c r="E142" s="25" t="s">
        <v>8</v>
      </c>
      <c r="F142" s="25" t="s">
        <v>5</v>
      </c>
      <c r="G142" s="31"/>
    </row>
    <row r="143" spans="1:7" x14ac:dyDescent="0.15">
      <c r="A143" t="s">
        <v>3</v>
      </c>
      <c r="B143" t="s">
        <v>0</v>
      </c>
      <c r="C143" s="24">
        <v>12419072</v>
      </c>
      <c r="D143" s="24">
        <v>12955813</v>
      </c>
      <c r="E143" s="27">
        <f>表9_15161718242930313233343540414236115168[[#This Row],[Core Cyc'#/Frame]]*30/1000/1000</f>
        <v>372.57216</v>
      </c>
      <c r="F143" s="24">
        <v>19</v>
      </c>
      <c r="G143" s="31"/>
    </row>
    <row r="144" spans="1:7" x14ac:dyDescent="0.15">
      <c r="B144" t="s">
        <v>9</v>
      </c>
      <c r="C144" s="24">
        <v>13434880</v>
      </c>
      <c r="D144" s="24">
        <v>13975889</v>
      </c>
      <c r="E144" s="27">
        <f>表9_15161718242930313233343540414236115168[[#This Row],[Core Cyc'#/Frame]]*30/1000/1000</f>
        <v>403.04640000000001</v>
      </c>
      <c r="F144" s="24">
        <v>30</v>
      </c>
      <c r="G144" s="31"/>
    </row>
    <row r="145" spans="1:7" x14ac:dyDescent="0.15">
      <c r="B145" t="s">
        <v>10</v>
      </c>
      <c r="C145" s="24">
        <v>14024704</v>
      </c>
      <c r="D145" s="27">
        <v>14554633</v>
      </c>
      <c r="E145" s="27">
        <f>表9_15161718242930313233343540414236115168[[#This Row],[Core Cyc'#/Frame]]*30/1000/1000</f>
        <v>420.74112000000002</v>
      </c>
      <c r="F145" s="24">
        <v>38</v>
      </c>
      <c r="G145" s="31"/>
    </row>
    <row r="146" spans="1:7" x14ac:dyDescent="0.15">
      <c r="B146" t="s">
        <v>9</v>
      </c>
      <c r="C146" s="24">
        <v>13500416</v>
      </c>
      <c r="D146" s="27">
        <v>14050849</v>
      </c>
      <c r="E146" s="27">
        <f>表9_15161718242930313233343540414236115168[[#This Row],[Core Cyc'#/Frame]]*30/1000/1000</f>
        <v>405.01247999999998</v>
      </c>
      <c r="F146" s="24">
        <v>30</v>
      </c>
      <c r="G146" s="31"/>
    </row>
    <row r="147" spans="1:7" x14ac:dyDescent="0.15">
      <c r="B147" t="s">
        <v>10</v>
      </c>
      <c r="C147" s="24">
        <v>14024704</v>
      </c>
      <c r="D147" s="24">
        <v>14582963</v>
      </c>
      <c r="E147" s="27">
        <f>表9_15161718242930313233343540414236115168[[#This Row],[Core Cyc'#/Frame]]*30/1000/1000</f>
        <v>420.74112000000002</v>
      </c>
      <c r="F147" s="24">
        <v>38</v>
      </c>
      <c r="G147" s="31"/>
    </row>
    <row r="148" spans="1:7" x14ac:dyDescent="0.15">
      <c r="B148" t="s">
        <v>9</v>
      </c>
      <c r="C148" s="24">
        <v>13402112</v>
      </c>
      <c r="D148" s="24">
        <v>13932721</v>
      </c>
      <c r="E148" s="27">
        <f>表9_15161718242930313233343540414236115168[[#This Row],[Core Cyc'#/Frame]]*30/1000/1000</f>
        <v>402.06335999999999</v>
      </c>
      <c r="F148" s="24">
        <v>30</v>
      </c>
      <c r="G148" s="31"/>
    </row>
    <row r="149" spans="1:7" x14ac:dyDescent="0.15">
      <c r="A149" s="3" t="s">
        <v>141</v>
      </c>
      <c r="B149" s="4"/>
      <c r="C149" s="26"/>
      <c r="D149" s="29"/>
      <c r="E149" s="28"/>
      <c r="F149" s="26"/>
      <c r="G149" s="31"/>
    </row>
    <row r="150" spans="1:7" x14ac:dyDescent="0.15">
      <c r="A150" t="s">
        <v>4</v>
      </c>
      <c r="C150" s="24"/>
      <c r="D150" s="24"/>
      <c r="E150" s="24"/>
      <c r="F150" s="24"/>
      <c r="G150" s="31"/>
    </row>
    <row r="151" spans="1:7" x14ac:dyDescent="0.15">
      <c r="A151" s="1" t="s">
        <v>1</v>
      </c>
      <c r="B151" s="1" t="s">
        <v>2</v>
      </c>
      <c r="C151" s="25" t="s">
        <v>6</v>
      </c>
      <c r="D151" s="25" t="s">
        <v>7</v>
      </c>
      <c r="E151" s="25" t="s">
        <v>8</v>
      </c>
      <c r="F151" s="25" t="s">
        <v>5</v>
      </c>
      <c r="G151" s="31"/>
    </row>
    <row r="152" spans="1:7" x14ac:dyDescent="0.15">
      <c r="A152" t="s">
        <v>3</v>
      </c>
      <c r="B152" t="s">
        <v>0</v>
      </c>
      <c r="C152" s="24">
        <v>12386304</v>
      </c>
      <c r="D152" s="24">
        <v>12937781</v>
      </c>
      <c r="E152" s="27">
        <f>表9_151617182429303132333435404142644119172[[#This Row],[Core Cyc'#/Frame]]*30/1000/1000</f>
        <v>371.58911999999998</v>
      </c>
      <c r="F152" s="24">
        <v>19</v>
      </c>
      <c r="G152" s="31"/>
    </row>
    <row r="153" spans="1:7" x14ac:dyDescent="0.15">
      <c r="B153" t="s">
        <v>9</v>
      </c>
      <c r="C153" s="24">
        <v>13205504</v>
      </c>
      <c r="D153" s="24">
        <v>13760465</v>
      </c>
      <c r="E153" s="27">
        <f>表9_151617182429303132333435404142644119172[[#This Row],[Core Cyc'#/Frame]]*30/1000/1000</f>
        <v>396.16512</v>
      </c>
      <c r="F153" s="24">
        <v>30</v>
      </c>
      <c r="G153" s="31"/>
    </row>
    <row r="154" spans="1:7" x14ac:dyDescent="0.15">
      <c r="B154" t="s">
        <v>10</v>
      </c>
      <c r="C154" s="24">
        <v>13303808</v>
      </c>
      <c r="D154" s="24">
        <v>13832393</v>
      </c>
      <c r="E154" s="27">
        <f>表9_151617182429303132333435404142644119172[[#This Row],[Core Cyc'#/Frame]]*30/1000/1000</f>
        <v>399.11424</v>
      </c>
      <c r="F154" s="24">
        <v>38</v>
      </c>
      <c r="G154" s="31"/>
    </row>
    <row r="155" spans="1:7" x14ac:dyDescent="0.15">
      <c r="B155" t="s">
        <v>9</v>
      </c>
      <c r="C155" s="24">
        <v>13303808</v>
      </c>
      <c r="D155" s="24">
        <v>13841409</v>
      </c>
      <c r="E155" s="27">
        <f>表9_151617182429303132333435404142644119172[[#This Row],[Core Cyc'#/Frame]]*30/1000/1000</f>
        <v>399.11424</v>
      </c>
      <c r="F155" s="24">
        <v>30</v>
      </c>
      <c r="G155" s="31"/>
    </row>
    <row r="156" spans="1:7" x14ac:dyDescent="0.15">
      <c r="B156" t="s">
        <v>10</v>
      </c>
      <c r="C156" s="24">
        <v>13303808</v>
      </c>
      <c r="D156" s="24">
        <v>13842691</v>
      </c>
      <c r="E156" s="27">
        <f>表9_151617182429303132333435404142644119172[[#This Row],[Core Cyc'#/Frame]]*30/1000/1000</f>
        <v>399.11424</v>
      </c>
      <c r="F156" s="24">
        <v>38</v>
      </c>
      <c r="G156" s="31"/>
    </row>
    <row r="157" spans="1:7" x14ac:dyDescent="0.15">
      <c r="B157" t="s">
        <v>111</v>
      </c>
      <c r="C157" s="24">
        <v>13139968</v>
      </c>
      <c r="D157" s="27">
        <v>13670297</v>
      </c>
      <c r="E157" s="27">
        <f>表9_151617182429303132333435404142644119172[[#This Row],[Core Cyc'#/Frame]]*30/1000/1000</f>
        <v>394.19903999999997</v>
      </c>
      <c r="F157" s="24">
        <v>30</v>
      </c>
      <c r="G157" s="31"/>
    </row>
    <row r="158" spans="1:7" x14ac:dyDescent="0.15">
      <c r="A158" s="3" t="s">
        <v>142</v>
      </c>
      <c r="B158" s="4"/>
      <c r="C158" s="26"/>
      <c r="D158" s="29"/>
      <c r="E158" s="28"/>
      <c r="F158" s="26"/>
      <c r="G158" s="31"/>
    </row>
    <row r="159" spans="1:7" x14ac:dyDescent="0.15">
      <c r="A159" t="s">
        <v>4</v>
      </c>
      <c r="C159" s="24"/>
      <c r="D159" s="24"/>
      <c r="E159" s="24"/>
      <c r="F159" s="24"/>
      <c r="G159" s="31"/>
    </row>
    <row r="160" spans="1:7" x14ac:dyDescent="0.15">
      <c r="A160" s="1" t="s">
        <v>1</v>
      </c>
      <c r="B160" s="1" t="s">
        <v>2</v>
      </c>
      <c r="C160" s="25" t="s">
        <v>6</v>
      </c>
      <c r="D160" s="25" t="s">
        <v>7</v>
      </c>
      <c r="E160" s="25" t="s">
        <v>8</v>
      </c>
      <c r="F160" s="25" t="s">
        <v>5</v>
      </c>
      <c r="G160" s="31"/>
    </row>
    <row r="161" spans="1:7" x14ac:dyDescent="0.15">
      <c r="A161" t="s">
        <v>3</v>
      </c>
      <c r="B161" t="s">
        <v>0</v>
      </c>
      <c r="C161" s="24">
        <v>12386304</v>
      </c>
      <c r="D161" s="24">
        <v>12937781</v>
      </c>
      <c r="E161" s="27">
        <f>表9_15161718242930313233343540414261855122175[[#This Row],[Core Cyc'#/Frame]]*30/1000/1000</f>
        <v>371.58911999999998</v>
      </c>
      <c r="F161" s="24">
        <v>19</v>
      </c>
      <c r="G161" s="31"/>
    </row>
    <row r="162" spans="1:7" x14ac:dyDescent="0.15">
      <c r="B162" t="s">
        <v>9</v>
      </c>
      <c r="C162" s="24">
        <v>13139968</v>
      </c>
      <c r="D162" s="24">
        <v>13679321</v>
      </c>
      <c r="E162" s="27">
        <f>表9_15161718242930313233343540414261855122175[[#This Row],[Core Cyc'#/Frame]]*30/1000/1000</f>
        <v>394.19903999999997</v>
      </c>
      <c r="F162" s="24">
        <v>30</v>
      </c>
      <c r="G162" s="31"/>
    </row>
    <row r="163" spans="1:7" x14ac:dyDescent="0.15">
      <c r="B163" t="s">
        <v>10</v>
      </c>
      <c r="C163" s="24">
        <v>13172736</v>
      </c>
      <c r="D163" s="24">
        <v>13706169</v>
      </c>
      <c r="E163" s="27">
        <f>表9_15161718242930313233343540414261855122175[[#This Row],[Core Cyc'#/Frame]]*30/1000/1000</f>
        <v>395.18208000000004</v>
      </c>
      <c r="F163" s="24">
        <v>38</v>
      </c>
      <c r="G163" s="31"/>
    </row>
    <row r="164" spans="1:7" x14ac:dyDescent="0.15">
      <c r="B164" t="s">
        <v>9</v>
      </c>
      <c r="C164" s="24">
        <v>13205504</v>
      </c>
      <c r="D164" s="24">
        <v>13760265</v>
      </c>
      <c r="E164" s="27">
        <f>表9_15161718242930313233343540414261855122175[[#This Row],[Core Cyc'#/Frame]]*30/1000/1000</f>
        <v>396.16512</v>
      </c>
      <c r="F164" s="24">
        <v>30</v>
      </c>
      <c r="G164" s="31"/>
    </row>
    <row r="165" spans="1:7" x14ac:dyDescent="0.15">
      <c r="B165" t="s">
        <v>10</v>
      </c>
      <c r="C165" s="24">
        <v>13172736</v>
      </c>
      <c r="D165" s="24">
        <v>13708451</v>
      </c>
      <c r="E165" s="27">
        <f>表9_15161718242930313233343540414261855122175[[#This Row],[Core Cyc'#/Frame]]*30/1000/1000</f>
        <v>395.18208000000004</v>
      </c>
      <c r="F165" s="24">
        <v>38</v>
      </c>
      <c r="G165" s="31"/>
    </row>
    <row r="166" spans="1:7" x14ac:dyDescent="0.15">
      <c r="B166" t="s">
        <v>111</v>
      </c>
      <c r="C166" s="24">
        <v>13041664</v>
      </c>
      <c r="D166" s="27">
        <v>13583321</v>
      </c>
      <c r="E166" s="27">
        <f>表9_15161718242930313233343540414261855122175[[#This Row],[Core Cyc'#/Frame]]*30/1000/1000</f>
        <v>391.24991999999997</v>
      </c>
      <c r="F166" s="24">
        <v>30</v>
      </c>
      <c r="G166" s="31"/>
    </row>
    <row r="167" spans="1:7" x14ac:dyDescent="0.15">
      <c r="A167" s="3" t="s">
        <v>156</v>
      </c>
      <c r="B167" s="4"/>
      <c r="C167" s="26"/>
      <c r="D167" s="29"/>
      <c r="E167" s="28">
        <f>表9_15161718242930313233343540414261855122175[[#This Row],[Core Cyc'#/Frame]]*30/1000/1000</f>
        <v>0</v>
      </c>
      <c r="F167" s="26"/>
      <c r="G167" s="31"/>
    </row>
    <row r="168" spans="1:7" x14ac:dyDescent="0.15">
      <c r="A168" t="s">
        <v>4</v>
      </c>
      <c r="C168" s="24"/>
      <c r="D168" s="24"/>
      <c r="E168" s="24"/>
      <c r="F168" s="24"/>
      <c r="G168" s="31"/>
    </row>
    <row r="169" spans="1:7" x14ac:dyDescent="0.15">
      <c r="A169" s="1" t="s">
        <v>1</v>
      </c>
      <c r="B169" s="1" t="s">
        <v>2</v>
      </c>
      <c r="C169" s="25" t="s">
        <v>6</v>
      </c>
      <c r="D169" s="25" t="s">
        <v>7</v>
      </c>
      <c r="E169" s="25" t="s">
        <v>8</v>
      </c>
      <c r="F169" s="25" t="s">
        <v>5</v>
      </c>
      <c r="G169" s="31"/>
    </row>
    <row r="170" spans="1:7" x14ac:dyDescent="0.15">
      <c r="A170" t="s">
        <v>3</v>
      </c>
      <c r="B170" t="s">
        <v>0</v>
      </c>
      <c r="C170" s="24">
        <v>12386304</v>
      </c>
      <c r="D170" s="24">
        <v>12928826</v>
      </c>
      <c r="E170" s="27">
        <f>表9_15161718242930313233343540414261855122129176[[#This Row],[Core Cyc'#/Frame]]*30/1000/1000</f>
        <v>371.58911999999998</v>
      </c>
      <c r="F170" s="24">
        <v>19</v>
      </c>
      <c r="G170" s="31"/>
    </row>
    <row r="171" spans="1:7" x14ac:dyDescent="0.15">
      <c r="B171" t="s">
        <v>9</v>
      </c>
      <c r="C171" s="24">
        <v>13107200</v>
      </c>
      <c r="D171" s="24">
        <v>13655898</v>
      </c>
      <c r="E171" s="27">
        <f>表9_15161718242930313233343540414261855122129176[[#This Row],[Core Cyc'#/Frame]]*30/1000/1000</f>
        <v>393.21600000000001</v>
      </c>
      <c r="F171" s="24">
        <v>30</v>
      </c>
      <c r="G171" s="31"/>
    </row>
    <row r="172" spans="1:7" x14ac:dyDescent="0.15">
      <c r="B172" t="s">
        <v>10</v>
      </c>
      <c r="C172" s="24">
        <v>13139968</v>
      </c>
      <c r="D172" s="24">
        <v>13679182</v>
      </c>
      <c r="E172" s="27">
        <f>表9_15161718242930313233343540414261855122129176[[#This Row],[Core Cyc'#/Frame]]*30/1000/1000</f>
        <v>394.19903999999997</v>
      </c>
      <c r="F172" s="24">
        <v>38</v>
      </c>
      <c r="G172" s="31"/>
    </row>
    <row r="173" spans="1:7" x14ac:dyDescent="0.15">
      <c r="B173" t="s">
        <v>9</v>
      </c>
      <c r="C173" s="24">
        <v>13205504</v>
      </c>
      <c r="D173" s="24">
        <v>13751310</v>
      </c>
      <c r="E173" s="27">
        <f>表9_15161718242930313233343540414261855122129176[[#This Row],[Core Cyc'#/Frame]]*30/1000/1000</f>
        <v>396.16512</v>
      </c>
      <c r="F173" s="24">
        <v>30</v>
      </c>
      <c r="G173" s="31"/>
    </row>
    <row r="174" spans="1:7" x14ac:dyDescent="0.15">
      <c r="B174" t="s">
        <v>10</v>
      </c>
      <c r="C174" s="24">
        <v>13139968</v>
      </c>
      <c r="D174" s="24">
        <v>13689483</v>
      </c>
      <c r="E174" s="27">
        <f>表9_15161718242930313233343540414261855122129176[[#This Row],[Core Cyc'#/Frame]]*30/1000/1000</f>
        <v>394.19903999999997</v>
      </c>
      <c r="F174" s="24">
        <v>38</v>
      </c>
      <c r="G174" s="31"/>
    </row>
    <row r="175" spans="1:7" x14ac:dyDescent="0.15">
      <c r="B175" t="s">
        <v>111</v>
      </c>
      <c r="C175" s="24">
        <v>13008896</v>
      </c>
      <c r="D175" s="27">
        <v>13565358</v>
      </c>
      <c r="E175" s="27">
        <f>表9_15161718242930313233343540414261855122129176[[#This Row],[Core Cyc'#/Frame]]*30/1000/1000</f>
        <v>390.26688000000001</v>
      </c>
      <c r="F175" s="24">
        <v>30</v>
      </c>
      <c r="G175" s="31"/>
    </row>
    <row r="176" spans="1:7" x14ac:dyDescent="0.15">
      <c r="C176" s="24"/>
      <c r="D176" s="27"/>
      <c r="E176" s="27"/>
      <c r="F176" s="24"/>
      <c r="G176" s="31"/>
    </row>
    <row r="177" spans="1:7" x14ac:dyDescent="0.15">
      <c r="A177" s="3" t="s">
        <v>155</v>
      </c>
      <c r="B177" s="4"/>
      <c r="C177" s="26"/>
      <c r="D177" s="29"/>
      <c r="E177" s="28"/>
      <c r="F177" s="26"/>
      <c r="G177" s="31"/>
    </row>
    <row r="178" spans="1:7" x14ac:dyDescent="0.15">
      <c r="A178" t="s">
        <v>4</v>
      </c>
      <c r="C178" s="24"/>
      <c r="D178" s="24"/>
      <c r="E178" s="24"/>
      <c r="F178" s="24"/>
      <c r="G178" s="31"/>
    </row>
    <row r="179" spans="1:7" x14ac:dyDescent="0.15">
      <c r="A179" s="1" t="s">
        <v>1</v>
      </c>
      <c r="B179" s="1" t="s">
        <v>2</v>
      </c>
      <c r="C179" s="25" t="s">
        <v>6</v>
      </c>
      <c r="D179" s="25" t="s">
        <v>7</v>
      </c>
      <c r="E179" s="25" t="s">
        <v>8</v>
      </c>
      <c r="F179" s="25" t="s">
        <v>5</v>
      </c>
      <c r="G179" s="31"/>
    </row>
    <row r="180" spans="1:7" x14ac:dyDescent="0.15">
      <c r="A180" t="s">
        <v>3</v>
      </c>
      <c r="B180" t="s">
        <v>0</v>
      </c>
      <c r="C180" s="24">
        <v>12386304</v>
      </c>
      <c r="D180" s="24">
        <v>12922149</v>
      </c>
      <c r="E180" s="27">
        <f>表9_15161718242930313233343540414261855122129176184[[#This Row],[Core Cyc'#/Frame]]*30/1000/1000</f>
        <v>371.58911999999998</v>
      </c>
      <c r="F180" s="24">
        <v>19</v>
      </c>
      <c r="G180" s="31"/>
    </row>
    <row r="181" spans="1:7" x14ac:dyDescent="0.15">
      <c r="B181" t="s">
        <v>9</v>
      </c>
      <c r="C181" s="24">
        <v>13107200</v>
      </c>
      <c r="D181" s="24">
        <v>13650905</v>
      </c>
      <c r="E181" s="27">
        <f>表9_15161718242930313233343540414261855122129176184[[#This Row],[Core Cyc'#/Frame]]*30/1000/1000</f>
        <v>393.21600000000001</v>
      </c>
      <c r="F181" s="24">
        <v>30</v>
      </c>
      <c r="G181" s="31"/>
    </row>
    <row r="182" spans="1:7" x14ac:dyDescent="0.15">
      <c r="B182" t="s">
        <v>10</v>
      </c>
      <c r="C182" s="24">
        <v>13139968</v>
      </c>
      <c r="D182" s="24">
        <v>13674229</v>
      </c>
      <c r="E182" s="27">
        <f>表9_15161718242930313233343540414261855122129176184[[#This Row],[Core Cyc'#/Frame]]*30/1000/1000</f>
        <v>394.19903999999997</v>
      </c>
      <c r="F182" s="24">
        <v>38</v>
      </c>
      <c r="G182" s="31"/>
    </row>
    <row r="183" spans="1:7" x14ac:dyDescent="0.15">
      <c r="B183" t="s">
        <v>9</v>
      </c>
      <c r="C183" s="24">
        <v>13205504</v>
      </c>
      <c r="D183" s="24">
        <v>13746485</v>
      </c>
      <c r="E183" s="27">
        <f>表9_15161718242930313233343540414261855122129176184[[#This Row],[Core Cyc'#/Frame]]*30/1000/1000</f>
        <v>396.16512</v>
      </c>
      <c r="F183" s="24">
        <v>30</v>
      </c>
      <c r="G183" s="31"/>
    </row>
    <row r="184" spans="1:7" x14ac:dyDescent="0.15">
      <c r="B184" t="s">
        <v>10</v>
      </c>
      <c r="C184" s="24">
        <v>13139968</v>
      </c>
      <c r="D184" s="24">
        <v>13675500</v>
      </c>
      <c r="E184" s="27">
        <f>表9_15161718242930313233343540414261855122129176184[[#This Row],[Core Cyc'#/Frame]]*30/1000/1000</f>
        <v>394.19903999999997</v>
      </c>
      <c r="F184" s="24">
        <v>38</v>
      </c>
      <c r="G184" s="31"/>
    </row>
    <row r="185" spans="1:7" x14ac:dyDescent="0.15">
      <c r="B185" t="s">
        <v>111</v>
      </c>
      <c r="C185" s="24">
        <v>13008896</v>
      </c>
      <c r="D185" s="27">
        <v>13560201</v>
      </c>
      <c r="E185" s="27">
        <f>表9_15161718242930313233343540414261855122129176184[[#This Row],[Core Cyc'#/Frame]]*30/1000/1000</f>
        <v>390.26688000000001</v>
      </c>
      <c r="F185" s="24">
        <v>30</v>
      </c>
      <c r="G185" s="31"/>
    </row>
    <row r="186" spans="1:7" x14ac:dyDescent="0.15">
      <c r="C186" s="24"/>
      <c r="D186" s="27"/>
      <c r="E186" s="27"/>
      <c r="F186" s="24"/>
      <c r="G186" s="31"/>
    </row>
    <row r="187" spans="1:7" x14ac:dyDescent="0.15">
      <c r="C187" s="24"/>
      <c r="D187" s="27"/>
      <c r="E187" s="27"/>
      <c r="F187" s="24"/>
      <c r="G187" s="31"/>
    </row>
    <row r="188" spans="1:7" x14ac:dyDescent="0.15">
      <c r="C188" s="24"/>
      <c r="D188" s="27"/>
      <c r="E188" s="27"/>
      <c r="F188" s="24"/>
      <c r="G188" s="31"/>
    </row>
    <row r="189" spans="1:7" x14ac:dyDescent="0.15">
      <c r="C189" s="24"/>
      <c r="D189" s="27"/>
      <c r="E189" s="27"/>
      <c r="F189" s="24"/>
      <c r="G189" s="31"/>
    </row>
    <row r="190" spans="1:7" x14ac:dyDescent="0.15">
      <c r="G190" s="31"/>
    </row>
    <row r="191" spans="1:7" x14ac:dyDescent="0.15">
      <c r="G191" s="31"/>
    </row>
    <row r="192" spans="1:7" ht="20.25" x14ac:dyDescent="0.15">
      <c r="A192" s="101" t="s">
        <v>145</v>
      </c>
      <c r="B192" s="101"/>
      <c r="C192" s="101"/>
      <c r="D192" s="101"/>
      <c r="E192" s="101"/>
      <c r="F192" s="101"/>
      <c r="G192" s="31"/>
    </row>
    <row r="193" spans="1:7" x14ac:dyDescent="0.15">
      <c r="A193" s="3" t="s">
        <v>146</v>
      </c>
      <c r="B193" s="4"/>
      <c r="C193" s="4"/>
      <c r="D193" s="5"/>
      <c r="E193" s="6"/>
      <c r="F193" s="4"/>
      <c r="G193" s="31"/>
    </row>
    <row r="194" spans="1:7" x14ac:dyDescent="0.15">
      <c r="A194" t="s">
        <v>4</v>
      </c>
      <c r="G194" s="31"/>
    </row>
    <row r="195" spans="1:7" x14ac:dyDescent="0.15">
      <c r="A195" s="1" t="s">
        <v>1</v>
      </c>
      <c r="B195" s="1" t="s">
        <v>2</v>
      </c>
      <c r="C195" s="1" t="s">
        <v>6</v>
      </c>
      <c r="D195" s="1" t="s">
        <v>7</v>
      </c>
      <c r="E195" s="1" t="s">
        <v>8</v>
      </c>
      <c r="F195" s="1" t="s">
        <v>5</v>
      </c>
      <c r="G195" s="31"/>
    </row>
    <row r="196" spans="1:7" x14ac:dyDescent="0.15">
      <c r="A196" t="s">
        <v>3</v>
      </c>
      <c r="B196" t="s">
        <v>0</v>
      </c>
      <c r="E196" s="2"/>
      <c r="G196" s="31"/>
    </row>
    <row r="197" spans="1:7" x14ac:dyDescent="0.15">
      <c r="E197" s="2"/>
      <c r="G197" s="31"/>
    </row>
    <row r="198" spans="1:7" x14ac:dyDescent="0.15">
      <c r="A198" s="3" t="s">
        <v>147</v>
      </c>
      <c r="B198" s="4"/>
      <c r="C198" s="4"/>
      <c r="D198" s="5"/>
      <c r="E198" s="6"/>
      <c r="F198" s="4"/>
      <c r="G198" s="31"/>
    </row>
    <row r="199" spans="1:7" x14ac:dyDescent="0.15">
      <c r="A199" t="s">
        <v>4</v>
      </c>
      <c r="G199" s="31"/>
    </row>
    <row r="200" spans="1:7" x14ac:dyDescent="0.15">
      <c r="A200" s="1" t="s">
        <v>1</v>
      </c>
      <c r="B200" s="1" t="s">
        <v>2</v>
      </c>
      <c r="C200" s="1" t="s">
        <v>6</v>
      </c>
      <c r="D200" s="1" t="s">
        <v>7</v>
      </c>
      <c r="E200" s="1" t="s">
        <v>8</v>
      </c>
      <c r="F200" s="1" t="s">
        <v>5</v>
      </c>
      <c r="G200" s="31"/>
    </row>
    <row r="201" spans="1:7" x14ac:dyDescent="0.15">
      <c r="A201" t="s">
        <v>3</v>
      </c>
      <c r="B201" t="s">
        <v>0</v>
      </c>
      <c r="E201" s="2"/>
      <c r="G201" s="31"/>
    </row>
    <row r="202" spans="1:7" x14ac:dyDescent="0.15">
      <c r="B202" t="s">
        <v>9</v>
      </c>
      <c r="E202" s="2"/>
      <c r="G202" s="31"/>
    </row>
    <row r="203" spans="1:7" x14ac:dyDescent="0.15">
      <c r="B203" t="s">
        <v>93</v>
      </c>
      <c r="D203" s="2"/>
      <c r="E203" s="2"/>
      <c r="G203" s="31"/>
    </row>
    <row r="204" spans="1:7" x14ac:dyDescent="0.15">
      <c r="A204" s="3" t="s">
        <v>148</v>
      </c>
      <c r="B204" s="4"/>
      <c r="C204" s="4"/>
      <c r="D204" s="5"/>
      <c r="E204" s="6"/>
      <c r="F204" s="4"/>
      <c r="G204" s="31"/>
    </row>
    <row r="205" spans="1:7" x14ac:dyDescent="0.15">
      <c r="A205" t="s">
        <v>4</v>
      </c>
      <c r="G205" s="31"/>
    </row>
    <row r="206" spans="1:7" x14ac:dyDescent="0.15">
      <c r="A206" s="1" t="s">
        <v>1</v>
      </c>
      <c r="B206" s="1" t="s">
        <v>2</v>
      </c>
      <c r="C206" s="1" t="s">
        <v>6</v>
      </c>
      <c r="D206" s="1" t="s">
        <v>7</v>
      </c>
      <c r="E206" s="1" t="s">
        <v>8</v>
      </c>
      <c r="F206" s="1" t="s">
        <v>5</v>
      </c>
      <c r="G206" s="31"/>
    </row>
    <row r="207" spans="1:7" x14ac:dyDescent="0.15">
      <c r="A207" t="s">
        <v>3</v>
      </c>
      <c r="B207" t="s">
        <v>0</v>
      </c>
      <c r="E207" s="2"/>
      <c r="G207" s="31"/>
    </row>
    <row r="208" spans="1:7" x14ac:dyDescent="0.15">
      <c r="B208" t="s">
        <v>9</v>
      </c>
      <c r="E208" s="2"/>
      <c r="G208" s="31"/>
    </row>
    <row r="209" spans="1:7" x14ac:dyDescent="0.15">
      <c r="B209" t="s">
        <v>10</v>
      </c>
      <c r="E209" s="2"/>
      <c r="G209" s="31"/>
    </row>
    <row r="210" spans="1:7" x14ac:dyDescent="0.15">
      <c r="B210" t="s">
        <v>9</v>
      </c>
      <c r="D210" s="2"/>
      <c r="E210" s="2"/>
      <c r="G210" s="31"/>
    </row>
    <row r="211" spans="1:7" x14ac:dyDescent="0.15">
      <c r="A211" s="3" t="s">
        <v>149</v>
      </c>
      <c r="B211" s="4"/>
      <c r="C211" s="4"/>
      <c r="D211" s="5"/>
      <c r="E211" s="6"/>
      <c r="F211" s="4"/>
      <c r="G211" s="31"/>
    </row>
    <row r="212" spans="1:7" x14ac:dyDescent="0.15">
      <c r="A212" t="s">
        <v>4</v>
      </c>
      <c r="G212" s="31"/>
    </row>
    <row r="213" spans="1:7" x14ac:dyDescent="0.15">
      <c r="A213" s="1" t="s">
        <v>1</v>
      </c>
      <c r="B213" s="1" t="s">
        <v>2</v>
      </c>
      <c r="C213" s="1" t="s">
        <v>6</v>
      </c>
      <c r="D213" s="1" t="s">
        <v>7</v>
      </c>
      <c r="E213" s="1" t="s">
        <v>8</v>
      </c>
      <c r="F213" s="1" t="s">
        <v>5</v>
      </c>
      <c r="G213" s="31"/>
    </row>
    <row r="214" spans="1:7" x14ac:dyDescent="0.15">
      <c r="A214" t="s">
        <v>3</v>
      </c>
      <c r="B214" t="s">
        <v>0</v>
      </c>
      <c r="E214" s="2"/>
      <c r="G214" s="31"/>
    </row>
    <row r="215" spans="1:7" x14ac:dyDescent="0.15">
      <c r="B215" t="s">
        <v>9</v>
      </c>
      <c r="E215" s="2"/>
      <c r="G215" s="31"/>
    </row>
    <row r="216" spans="1:7" x14ac:dyDescent="0.15">
      <c r="B216" t="s">
        <v>10</v>
      </c>
      <c r="E216" s="2"/>
      <c r="G216" s="31"/>
    </row>
    <row r="217" spans="1:7" x14ac:dyDescent="0.15">
      <c r="B217" t="s">
        <v>9</v>
      </c>
      <c r="E217" s="2"/>
      <c r="G217" s="31"/>
    </row>
    <row r="218" spans="1:7" x14ac:dyDescent="0.15">
      <c r="A218" s="3" t="s">
        <v>150</v>
      </c>
      <c r="B218" s="4"/>
      <c r="C218" s="4"/>
      <c r="D218" s="5"/>
      <c r="E218" s="6"/>
      <c r="F218" s="4"/>
      <c r="G218" s="31"/>
    </row>
    <row r="219" spans="1:7" x14ac:dyDescent="0.15">
      <c r="A219" t="s">
        <v>4</v>
      </c>
      <c r="G219" s="31"/>
    </row>
    <row r="220" spans="1:7" x14ac:dyDescent="0.15">
      <c r="A220" s="1" t="s">
        <v>1</v>
      </c>
      <c r="B220" s="1" t="s">
        <v>2</v>
      </c>
      <c r="C220" s="1" t="s">
        <v>6</v>
      </c>
      <c r="D220" s="1" t="s">
        <v>7</v>
      </c>
      <c r="E220" s="1" t="s">
        <v>8</v>
      </c>
      <c r="F220" s="1" t="s">
        <v>5</v>
      </c>
      <c r="G220" s="31"/>
    </row>
    <row r="221" spans="1:7" x14ac:dyDescent="0.15">
      <c r="A221" t="s">
        <v>3</v>
      </c>
      <c r="B221" t="s">
        <v>0</v>
      </c>
      <c r="E221" s="2"/>
      <c r="G221" s="31"/>
    </row>
    <row r="222" spans="1:7" x14ac:dyDescent="0.15">
      <c r="B222" t="s">
        <v>9</v>
      </c>
      <c r="E222" s="2"/>
      <c r="G222" s="31"/>
    </row>
    <row r="223" spans="1:7" x14ac:dyDescent="0.15">
      <c r="B223" t="s">
        <v>10</v>
      </c>
      <c r="E223" s="2"/>
      <c r="G223" s="31"/>
    </row>
    <row r="224" spans="1:7" x14ac:dyDescent="0.15">
      <c r="B224" t="s">
        <v>9</v>
      </c>
      <c r="E224" s="2"/>
      <c r="G224" s="31"/>
    </row>
    <row r="225" spans="1:7" x14ac:dyDescent="0.15">
      <c r="B225" t="s">
        <v>10</v>
      </c>
      <c r="E225" s="2"/>
      <c r="G225" s="31"/>
    </row>
    <row r="226" spans="1:7" x14ac:dyDescent="0.15">
      <c r="A226" s="3" t="s">
        <v>151</v>
      </c>
      <c r="B226" s="4"/>
      <c r="C226" s="4"/>
      <c r="D226" s="5"/>
      <c r="E226" s="6"/>
      <c r="F226" s="4"/>
      <c r="G226" s="31"/>
    </row>
    <row r="227" spans="1:7" x14ac:dyDescent="0.15">
      <c r="A227" t="s">
        <v>4</v>
      </c>
      <c r="G227" s="31"/>
    </row>
    <row r="228" spans="1:7" x14ac:dyDescent="0.15">
      <c r="A228" s="1" t="s">
        <v>1</v>
      </c>
      <c r="B228" s="1" t="s">
        <v>2</v>
      </c>
      <c r="C228" s="1" t="s">
        <v>6</v>
      </c>
      <c r="D228" s="1" t="s">
        <v>7</v>
      </c>
      <c r="E228" s="1" t="s">
        <v>8</v>
      </c>
      <c r="F228" s="1" t="s">
        <v>5</v>
      </c>
      <c r="G228" s="31"/>
    </row>
    <row r="229" spans="1:7" x14ac:dyDescent="0.15">
      <c r="A229" t="s">
        <v>3</v>
      </c>
      <c r="B229" t="s">
        <v>0</v>
      </c>
      <c r="E229" s="2"/>
      <c r="G229" s="31"/>
    </row>
    <row r="230" spans="1:7" x14ac:dyDescent="0.15">
      <c r="B230" t="s">
        <v>9</v>
      </c>
      <c r="E230" s="2"/>
      <c r="G230" s="31"/>
    </row>
    <row r="231" spans="1:7" x14ac:dyDescent="0.15">
      <c r="B231" t="s">
        <v>10</v>
      </c>
      <c r="E231" s="2"/>
      <c r="G231" s="31"/>
    </row>
    <row r="232" spans="1:7" x14ac:dyDescent="0.15">
      <c r="B232" t="s">
        <v>9</v>
      </c>
      <c r="E232" s="2"/>
      <c r="G232" s="31"/>
    </row>
    <row r="233" spans="1:7" x14ac:dyDescent="0.15">
      <c r="B233" t="s">
        <v>10</v>
      </c>
      <c r="E233" s="2"/>
      <c r="G233" s="31"/>
    </row>
  </sheetData>
  <mergeCells count="4">
    <mergeCell ref="A1:F1"/>
    <mergeCell ref="A66:F66"/>
    <mergeCell ref="A118:F118"/>
    <mergeCell ref="A192:F192"/>
  </mergeCells>
  <phoneticPr fontId="2" type="noConversion"/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zoomScaleNormal="100" workbookViewId="0">
      <selection activeCell="J8" sqref="J8"/>
    </sheetView>
  </sheetViews>
  <sheetFormatPr defaultRowHeight="13.5" x14ac:dyDescent="0.15"/>
  <cols>
    <col min="1" max="1" width="17.25" customWidth="1"/>
    <col min="2" max="2" width="11.625" bestFit="1" customWidth="1"/>
    <col min="3" max="3" width="17.375" customWidth="1"/>
    <col min="4" max="5" width="21.375" customWidth="1"/>
    <col min="6" max="6" width="20.25" customWidth="1"/>
    <col min="7" max="7" width="28.375" customWidth="1"/>
    <col min="8" max="8" width="31" bestFit="1" customWidth="1"/>
    <col min="9" max="9" width="11.75" customWidth="1"/>
    <col min="12" max="12" width="11.625" customWidth="1"/>
    <col min="13" max="13" width="40.375" customWidth="1"/>
    <col min="14" max="14" width="34.125" customWidth="1"/>
    <col min="15" max="15" width="32" customWidth="1"/>
    <col min="16" max="16" width="14" customWidth="1"/>
  </cols>
  <sheetData>
    <row r="1" spans="1:16" ht="20.25" x14ac:dyDescent="0.25">
      <c r="A1" s="99" t="s">
        <v>136</v>
      </c>
      <c r="B1" s="100"/>
      <c r="C1" s="100"/>
      <c r="D1" s="100"/>
      <c r="E1" s="100"/>
      <c r="F1" s="100"/>
      <c r="G1" s="100"/>
      <c r="H1" s="100"/>
      <c r="I1" s="100"/>
    </row>
    <row r="2" spans="1:16" x14ac:dyDescent="0.15">
      <c r="A2" s="3" t="s">
        <v>157</v>
      </c>
      <c r="B2" s="4"/>
      <c r="C2" s="26"/>
      <c r="D2" s="29"/>
      <c r="E2" s="29"/>
      <c r="F2" s="29"/>
      <c r="G2" s="29"/>
      <c r="H2" s="29"/>
      <c r="I2" s="26"/>
      <c r="K2" s="3"/>
      <c r="L2" s="4"/>
      <c r="M2" s="26"/>
      <c r="N2" s="29"/>
      <c r="O2" s="28"/>
      <c r="P2" s="26"/>
    </row>
    <row r="3" spans="1:16" x14ac:dyDescent="0.15">
      <c r="A3" t="s">
        <v>173</v>
      </c>
      <c r="C3" s="24"/>
      <c r="D3" s="24"/>
      <c r="E3" s="24"/>
      <c r="F3" s="24"/>
      <c r="G3" s="24"/>
      <c r="H3" s="24"/>
      <c r="I3" s="24"/>
      <c r="M3" s="24"/>
      <c r="N3" s="24"/>
      <c r="O3" s="24"/>
      <c r="P3" s="24"/>
    </row>
    <row r="4" spans="1:16" x14ac:dyDescent="0.15">
      <c r="A4" s="1" t="s">
        <v>1</v>
      </c>
      <c r="B4" s="1" t="s">
        <v>2</v>
      </c>
      <c r="C4" s="25" t="s">
        <v>158</v>
      </c>
      <c r="D4" s="25" t="s">
        <v>288</v>
      </c>
      <c r="E4" s="25" t="s">
        <v>262</v>
      </c>
      <c r="F4" s="25" t="s">
        <v>166</v>
      </c>
      <c r="G4" s="25" t="s">
        <v>165</v>
      </c>
      <c r="H4" s="49" t="s">
        <v>264</v>
      </c>
      <c r="I4" s="25" t="s">
        <v>159</v>
      </c>
      <c r="K4" s="1"/>
      <c r="L4" s="1"/>
      <c r="M4" s="25"/>
      <c r="N4" s="25"/>
      <c r="O4" s="25"/>
      <c r="P4" s="25"/>
    </row>
    <row r="5" spans="1:16" x14ac:dyDescent="0.15">
      <c r="A5" t="s">
        <v>3</v>
      </c>
      <c r="B5" t="s">
        <v>0</v>
      </c>
      <c r="C5" s="24">
        <v>32</v>
      </c>
      <c r="D5" s="43" t="s">
        <v>168</v>
      </c>
      <c r="E5" s="24">
        <f t="shared" ref="E5:E9" si="0">HEX2DEC(D5)</f>
        <v>122934</v>
      </c>
      <c r="F5" s="40">
        <f>E5*8*30/1000/1000</f>
        <v>29.504159999999999</v>
      </c>
      <c r="G5" s="24">
        <v>12386304</v>
      </c>
      <c r="H5" s="27">
        <f>表9_15161718242930313233343540414261855122129176183[[#This Row],[Core Cycle'#/Frame]]*30/1000/1000</f>
        <v>371.58911999999998</v>
      </c>
      <c r="I5" s="24"/>
      <c r="M5" s="24"/>
      <c r="N5" s="24"/>
      <c r="O5" s="27"/>
      <c r="P5" s="24"/>
    </row>
    <row r="6" spans="1:16" x14ac:dyDescent="0.15">
      <c r="B6" t="s">
        <v>9</v>
      </c>
      <c r="C6" s="24">
        <v>33</v>
      </c>
      <c r="D6" s="24" t="s">
        <v>169</v>
      </c>
      <c r="E6" s="24">
        <f>HEX2DEC(D6)</f>
        <v>26537</v>
      </c>
      <c r="F6" s="40">
        <f t="shared" ref="F6:F10" si="1">E6*8*30/1000/1000</f>
        <v>6.3688799999999999</v>
      </c>
      <c r="G6" s="24">
        <v>13107200</v>
      </c>
      <c r="H6" s="27">
        <f>表9_15161718242930313233343540414261855122129176183[[#This Row],[Core Cycle'#/Frame]]*30/1000/1000</f>
        <v>393.21600000000001</v>
      </c>
      <c r="I6" s="24"/>
      <c r="M6" s="24"/>
      <c r="N6" s="24"/>
      <c r="O6" s="27"/>
      <c r="P6" s="24"/>
    </row>
    <row r="7" spans="1:16" x14ac:dyDescent="0.15">
      <c r="B7" t="s">
        <v>10</v>
      </c>
      <c r="C7" s="24">
        <v>34</v>
      </c>
      <c r="D7" s="24" t="s">
        <v>170</v>
      </c>
      <c r="E7" s="24">
        <f t="shared" si="0"/>
        <v>6660</v>
      </c>
      <c r="F7" s="40">
        <f t="shared" si="1"/>
        <v>1.5984</v>
      </c>
      <c r="G7" s="24">
        <v>13139968</v>
      </c>
      <c r="H7" s="27">
        <f>表9_15161718242930313233343540414261855122129176183[[#This Row],[Core Cycle'#/Frame]]*30/1000/1000</f>
        <v>394.19903999999997</v>
      </c>
      <c r="I7" s="24"/>
      <c r="M7" s="24"/>
      <c r="N7" s="24"/>
      <c r="O7" s="27"/>
      <c r="P7" s="24"/>
    </row>
    <row r="8" spans="1:16" x14ac:dyDescent="0.15">
      <c r="B8" t="s">
        <v>9</v>
      </c>
      <c r="C8" s="24">
        <v>33</v>
      </c>
      <c r="D8" s="24">
        <v>7099</v>
      </c>
      <c r="E8" s="24">
        <f t="shared" si="0"/>
        <v>28825</v>
      </c>
      <c r="F8" s="40">
        <f t="shared" si="1"/>
        <v>6.9180000000000001</v>
      </c>
      <c r="G8" s="24">
        <v>13205504</v>
      </c>
      <c r="H8" s="27">
        <f>表9_15161718242930313233343540414261855122129176183[[#This Row],[Core Cycle'#/Frame]]*30/1000/1000</f>
        <v>396.16512</v>
      </c>
      <c r="I8" s="24"/>
      <c r="M8" s="24"/>
      <c r="N8" s="24"/>
      <c r="O8" s="27"/>
      <c r="P8" s="24"/>
    </row>
    <row r="9" spans="1:16" x14ac:dyDescent="0.15">
      <c r="B9" t="s">
        <v>10</v>
      </c>
      <c r="C9" s="24">
        <v>34</v>
      </c>
      <c r="D9" s="24" t="s">
        <v>171</v>
      </c>
      <c r="E9" s="24">
        <f t="shared" si="0"/>
        <v>6680</v>
      </c>
      <c r="F9" s="40">
        <f t="shared" si="1"/>
        <v>1.6032</v>
      </c>
      <c r="G9" s="24">
        <v>13139968</v>
      </c>
      <c r="H9" s="27">
        <f>表9_15161718242930313233343540414261855122129176183[[#This Row],[Core Cycle'#/Frame]]*30/1000/1000</f>
        <v>394.19903999999997</v>
      </c>
      <c r="I9" s="24"/>
      <c r="M9" s="24"/>
      <c r="N9" s="24"/>
      <c r="O9" s="27"/>
      <c r="P9" s="24"/>
    </row>
    <row r="10" spans="1:16" x14ac:dyDescent="0.15">
      <c r="B10" t="s">
        <v>111</v>
      </c>
      <c r="C10" s="24">
        <v>33</v>
      </c>
      <c r="D10" s="27" t="s">
        <v>172</v>
      </c>
      <c r="E10" s="27">
        <f>HEX2DEC(D10)</f>
        <v>30416</v>
      </c>
      <c r="F10" s="40">
        <f t="shared" si="1"/>
        <v>7.2998400000000006</v>
      </c>
      <c r="G10" s="24">
        <v>13008896</v>
      </c>
      <c r="H10" s="27">
        <f>表9_15161718242930313233343540414261855122129176183[[#This Row],[Core Cycle'#/Frame]]*30/1000/1000</f>
        <v>390.26688000000001</v>
      </c>
      <c r="I10" s="24"/>
      <c r="M10" s="24"/>
      <c r="N10" s="27"/>
      <c r="O10" s="27"/>
      <c r="P10" s="24"/>
    </row>
    <row r="12" spans="1:16" x14ac:dyDescent="0.15">
      <c r="A12" s="3" t="s">
        <v>157</v>
      </c>
      <c r="B12" s="4"/>
      <c r="C12" s="26"/>
      <c r="D12" s="29"/>
      <c r="E12" s="29"/>
      <c r="F12" s="29"/>
      <c r="G12" s="29"/>
      <c r="H12" s="29"/>
      <c r="I12" s="26"/>
    </row>
    <row r="13" spans="1:16" x14ac:dyDescent="0.15">
      <c r="A13" t="s">
        <v>167</v>
      </c>
      <c r="C13" s="24"/>
      <c r="D13" s="24"/>
      <c r="E13" s="24"/>
      <c r="F13" s="24"/>
      <c r="G13" s="24"/>
      <c r="H13" s="24"/>
      <c r="I13" s="24"/>
    </row>
    <row r="14" spans="1:16" x14ac:dyDescent="0.15">
      <c r="A14" s="1" t="s">
        <v>1</v>
      </c>
      <c r="B14" s="1" t="s">
        <v>2</v>
      </c>
      <c r="C14" s="25" t="s">
        <v>158</v>
      </c>
      <c r="D14" s="25" t="s">
        <v>288</v>
      </c>
      <c r="E14" s="25" t="s">
        <v>262</v>
      </c>
      <c r="F14" s="25" t="s">
        <v>166</v>
      </c>
      <c r="G14" s="25" t="s">
        <v>165</v>
      </c>
      <c r="H14" s="49" t="s">
        <v>264</v>
      </c>
      <c r="I14" s="25" t="s">
        <v>159</v>
      </c>
    </row>
    <row r="15" spans="1:16" x14ac:dyDescent="0.15">
      <c r="A15" t="s">
        <v>3</v>
      </c>
      <c r="B15" t="s">
        <v>0</v>
      </c>
      <c r="C15" s="24">
        <v>25</v>
      </c>
      <c r="D15" s="24">
        <v>41772</v>
      </c>
      <c r="E15" s="24">
        <f>HEX2DEC(D15)</f>
        <v>268146</v>
      </c>
      <c r="F15" s="40">
        <f t="shared" ref="F15:F20" si="2">E15*8*30/1000/1000</f>
        <v>64.355040000000002</v>
      </c>
      <c r="G15" s="24">
        <v>12582912</v>
      </c>
      <c r="H15" s="27">
        <f>表9_1516171824293031323334354041426185512212917618352[[#This Row],[Core Cycle'#/Frame]]*30/1000/1000</f>
        <v>377.48735999999997</v>
      </c>
      <c r="I15" s="24"/>
    </row>
    <row r="16" spans="1:16" x14ac:dyDescent="0.15">
      <c r="B16" t="s">
        <v>9</v>
      </c>
      <c r="C16" s="24">
        <v>26</v>
      </c>
      <c r="D16" s="24" t="s">
        <v>160</v>
      </c>
      <c r="E16" s="24">
        <f>HEX2DEC(D16)</f>
        <v>60736</v>
      </c>
      <c r="F16" s="40">
        <f t="shared" si="2"/>
        <v>14.576639999999999</v>
      </c>
      <c r="G16" s="24">
        <v>13402112</v>
      </c>
      <c r="H16" s="27">
        <f>表9_1516171824293031323334354041426185512212917618352[[#This Row],[Core Cycle'#/Frame]]*30/1000/1000</f>
        <v>402.06335999999999</v>
      </c>
      <c r="I16" s="24"/>
    </row>
    <row r="17" spans="1:9" x14ac:dyDescent="0.15">
      <c r="B17" t="s">
        <v>10</v>
      </c>
      <c r="C17" s="24">
        <v>27</v>
      </c>
      <c r="D17" s="24" t="s">
        <v>161</v>
      </c>
      <c r="E17" s="24">
        <f t="shared" ref="E17:E18" si="3">HEX2DEC(D17)</f>
        <v>15962</v>
      </c>
      <c r="F17" s="40">
        <f t="shared" si="2"/>
        <v>3.8308800000000001</v>
      </c>
      <c r="G17" s="24">
        <v>13533184</v>
      </c>
      <c r="H17" s="27">
        <f>表9_1516171824293031323334354041426185512212917618352[[#This Row],[Core Cycle'#/Frame]]*30/1000/1000</f>
        <v>405.99552</v>
      </c>
      <c r="I17" s="24"/>
    </row>
    <row r="18" spans="1:9" x14ac:dyDescent="0.15">
      <c r="B18" t="s">
        <v>9</v>
      </c>
      <c r="C18" s="24">
        <v>26</v>
      </c>
      <c r="D18" s="24" t="s">
        <v>162</v>
      </c>
      <c r="E18" s="24">
        <f t="shared" si="3"/>
        <v>65425</v>
      </c>
      <c r="F18" s="40">
        <f t="shared" si="2"/>
        <v>15.702</v>
      </c>
      <c r="G18" s="24">
        <v>13402112</v>
      </c>
      <c r="H18" s="27">
        <f>表9_1516171824293031323334354041426185512212917618352[[#This Row],[Core Cycle'#/Frame]]*30/1000/1000</f>
        <v>402.06335999999999</v>
      </c>
      <c r="I18" s="24"/>
    </row>
    <row r="19" spans="1:9" x14ac:dyDescent="0.15">
      <c r="B19" t="s">
        <v>10</v>
      </c>
      <c r="C19" s="24">
        <v>27</v>
      </c>
      <c r="D19" s="24" t="s">
        <v>163</v>
      </c>
      <c r="E19" s="24">
        <f>HEX2DEC(D19)</f>
        <v>15742</v>
      </c>
      <c r="F19" s="40">
        <f t="shared" si="2"/>
        <v>3.7780800000000001</v>
      </c>
      <c r="G19" s="24">
        <v>13402112</v>
      </c>
      <c r="H19" s="27">
        <f>表9_1516171824293031323334354041426185512212917618352[[#This Row],[Core Cycle'#/Frame]]*30/1000/1000</f>
        <v>402.06335999999999</v>
      </c>
      <c r="I19" s="24"/>
    </row>
    <row r="20" spans="1:9" x14ac:dyDescent="0.15">
      <c r="B20" t="s">
        <v>91</v>
      </c>
      <c r="C20" s="24">
        <v>26</v>
      </c>
      <c r="D20" s="27" t="s">
        <v>164</v>
      </c>
      <c r="E20" s="24">
        <f>HEX2DEC(D20)</f>
        <v>69352</v>
      </c>
      <c r="F20" s="40">
        <f t="shared" si="2"/>
        <v>16.644479999999998</v>
      </c>
      <c r="G20" s="24">
        <v>13205504</v>
      </c>
      <c r="H20" s="27">
        <f>表9_1516171824293031323334354041426185512212917618352[[#This Row],[Core Cycle'#/Frame]]*30/1000/1000</f>
        <v>396.16512</v>
      </c>
      <c r="I20" s="24"/>
    </row>
    <row r="22" spans="1:9" x14ac:dyDescent="0.15">
      <c r="A22" s="3" t="s">
        <v>157</v>
      </c>
      <c r="B22" s="4"/>
      <c r="C22" s="26"/>
      <c r="D22" s="29"/>
      <c r="E22" s="29"/>
      <c r="F22" s="29"/>
      <c r="G22" s="29"/>
      <c r="H22" s="29"/>
      <c r="I22" s="26"/>
    </row>
    <row r="23" spans="1:9" x14ac:dyDescent="0.15">
      <c r="A23" t="s">
        <v>174</v>
      </c>
      <c r="C23" s="24"/>
      <c r="D23" s="24"/>
      <c r="E23" s="24"/>
      <c r="F23" s="24"/>
      <c r="G23" s="24"/>
      <c r="H23" s="24"/>
      <c r="I23" s="24"/>
    </row>
    <row r="24" spans="1:9" x14ac:dyDescent="0.15">
      <c r="A24" s="1" t="s">
        <v>1</v>
      </c>
      <c r="B24" s="1" t="s">
        <v>2</v>
      </c>
      <c r="C24" s="25" t="s">
        <v>158</v>
      </c>
      <c r="D24" s="25" t="s">
        <v>288</v>
      </c>
      <c r="E24" s="25" t="s">
        <v>262</v>
      </c>
      <c r="F24" s="25" t="s">
        <v>166</v>
      </c>
      <c r="G24" s="25" t="s">
        <v>165</v>
      </c>
      <c r="H24" s="49" t="s">
        <v>264</v>
      </c>
      <c r="I24" s="25" t="s">
        <v>159</v>
      </c>
    </row>
    <row r="25" spans="1:9" x14ac:dyDescent="0.15">
      <c r="A25" t="s">
        <v>3</v>
      </c>
      <c r="B25" t="s">
        <v>0</v>
      </c>
      <c r="C25" s="24">
        <v>23</v>
      </c>
      <c r="D25" s="24">
        <v>59976</v>
      </c>
      <c r="E25" s="24">
        <f>HEX2DEC(D25)</f>
        <v>366966</v>
      </c>
      <c r="F25" s="40">
        <f t="shared" ref="F25:F30" si="4">E25*8*30/1000/1000</f>
        <v>88.071839999999995</v>
      </c>
      <c r="G25" s="24">
        <v>12779520</v>
      </c>
      <c r="H25" s="27">
        <f>表9_151617182429303132333435404142618551221291761835256[[#This Row],[Core Cycle'#/Frame]]*30/1000/1000</f>
        <v>383.38559999999995</v>
      </c>
      <c r="I25" s="24"/>
    </row>
    <row r="26" spans="1:9" x14ac:dyDescent="0.15">
      <c r="B26" t="s">
        <v>9</v>
      </c>
      <c r="C26" s="24">
        <v>24</v>
      </c>
      <c r="D26" s="24" t="s">
        <v>175</v>
      </c>
      <c r="E26" s="24">
        <f>HEX2DEC(D26)</f>
        <v>80052</v>
      </c>
      <c r="F26" s="40">
        <f t="shared" si="4"/>
        <v>19.212479999999999</v>
      </c>
      <c r="G26" s="24">
        <v>13434880</v>
      </c>
      <c r="H26" s="27">
        <f>表9_151617182429303132333435404142618551221291761835256[[#This Row],[Core Cycle'#/Frame]]*30/1000/1000</f>
        <v>403.04640000000001</v>
      </c>
      <c r="I26" s="24"/>
    </row>
    <row r="27" spans="1:9" x14ac:dyDescent="0.15">
      <c r="B27" t="s">
        <v>10</v>
      </c>
      <c r="C27" s="24">
        <v>25</v>
      </c>
      <c r="D27" s="24">
        <v>5005</v>
      </c>
      <c r="E27" s="24">
        <f t="shared" ref="E27:E28" si="5">HEX2DEC(D27)</f>
        <v>20485</v>
      </c>
      <c r="F27" s="40">
        <f t="shared" si="4"/>
        <v>4.9163999999999994</v>
      </c>
      <c r="G27" s="24">
        <v>13828096</v>
      </c>
      <c r="H27" s="27">
        <f>表9_151617182429303132333435404142618551221291761835256[[#This Row],[Core Cycle'#/Frame]]*30/1000/1000</f>
        <v>414.84287999999998</v>
      </c>
      <c r="I27" s="24"/>
    </row>
    <row r="28" spans="1:9" x14ac:dyDescent="0.15">
      <c r="B28" t="s">
        <v>9</v>
      </c>
      <c r="C28" s="24">
        <v>24</v>
      </c>
      <c r="D28" s="24" t="s">
        <v>176</v>
      </c>
      <c r="E28" s="24">
        <f t="shared" si="5"/>
        <v>85720</v>
      </c>
      <c r="F28" s="40">
        <f t="shared" si="4"/>
        <v>20.572800000000001</v>
      </c>
      <c r="G28" s="24">
        <v>13467648</v>
      </c>
      <c r="H28" s="27">
        <f>表9_151617182429303132333435404142618551221291761835256[[#This Row],[Core Cycle'#/Frame]]*30/1000/1000</f>
        <v>404.02944000000002</v>
      </c>
      <c r="I28" s="24"/>
    </row>
    <row r="29" spans="1:9" x14ac:dyDescent="0.15">
      <c r="B29" t="s">
        <v>10</v>
      </c>
      <c r="C29" s="24">
        <v>25</v>
      </c>
      <c r="D29" s="24" t="s">
        <v>177</v>
      </c>
      <c r="E29" s="24">
        <f>HEX2DEC(D29)</f>
        <v>20543</v>
      </c>
      <c r="F29" s="40">
        <f t="shared" si="4"/>
        <v>4.93032</v>
      </c>
      <c r="G29" s="24">
        <v>13598720</v>
      </c>
      <c r="H29" s="27">
        <f>表9_151617182429303132333435404142618551221291761835256[[#This Row],[Core Cycle'#/Frame]]*30/1000/1000</f>
        <v>407.96159999999998</v>
      </c>
      <c r="I29" s="24"/>
    </row>
    <row r="30" spans="1:9" x14ac:dyDescent="0.15">
      <c r="B30" t="s">
        <v>91</v>
      </c>
      <c r="C30" s="24">
        <v>24</v>
      </c>
      <c r="D30" s="27">
        <v>16213</v>
      </c>
      <c r="E30" s="24">
        <f>HEX2DEC(D30)</f>
        <v>90643</v>
      </c>
      <c r="F30" s="40">
        <f t="shared" si="4"/>
        <v>21.75432</v>
      </c>
      <c r="G30" s="24">
        <v>13238272</v>
      </c>
      <c r="H30" s="27">
        <f>表9_151617182429303132333435404142618551221291761835256[[#This Row],[Core Cycle'#/Frame]]*30/1000/1000</f>
        <v>397.14815999999996</v>
      </c>
      <c r="I30" s="24"/>
    </row>
    <row r="32" spans="1:9" x14ac:dyDescent="0.15">
      <c r="A32" s="3" t="s">
        <v>178</v>
      </c>
      <c r="B32" s="4"/>
      <c r="C32" s="26"/>
      <c r="D32" s="29"/>
      <c r="E32" s="29"/>
      <c r="F32" s="29"/>
      <c r="G32" s="29"/>
      <c r="H32" s="29"/>
      <c r="I32" s="26"/>
    </row>
    <row r="33" spans="1:9" x14ac:dyDescent="0.15">
      <c r="A33" t="s">
        <v>179</v>
      </c>
      <c r="C33" s="24"/>
      <c r="D33" s="24"/>
      <c r="E33" s="24"/>
      <c r="F33" s="24"/>
      <c r="G33" s="24"/>
      <c r="H33" s="24"/>
      <c r="I33" s="24"/>
    </row>
    <row r="34" spans="1:9" x14ac:dyDescent="0.15">
      <c r="A34" s="1" t="s">
        <v>1</v>
      </c>
      <c r="B34" s="1" t="s">
        <v>2</v>
      </c>
      <c r="C34" s="25" t="s">
        <v>158</v>
      </c>
      <c r="D34" s="25" t="s">
        <v>288</v>
      </c>
      <c r="E34" s="25" t="s">
        <v>262</v>
      </c>
      <c r="F34" s="25" t="s">
        <v>166</v>
      </c>
      <c r="G34" s="25" t="s">
        <v>165</v>
      </c>
      <c r="H34" s="49" t="s">
        <v>264</v>
      </c>
      <c r="I34" s="25" t="s">
        <v>159</v>
      </c>
    </row>
    <row r="35" spans="1:9" x14ac:dyDescent="0.15">
      <c r="A35" t="s">
        <v>3</v>
      </c>
      <c r="B35" t="s">
        <v>0</v>
      </c>
      <c r="C35" s="24">
        <v>21</v>
      </c>
      <c r="D35" s="24" t="s">
        <v>180</v>
      </c>
      <c r="E35" s="24">
        <f>HEX2DEC(D35)</f>
        <v>589689</v>
      </c>
      <c r="F35" s="40">
        <f t="shared" ref="F35:F40" si="6">E35*8*30/1000/1000</f>
        <v>141.52535999999998</v>
      </c>
      <c r="G35" s="24">
        <v>12877824</v>
      </c>
      <c r="H35" s="27">
        <f>表9_15161718242930313233343540414261855122129176183525657[[#This Row],[Core Cycle'#/Frame]]*30/1000/1000</f>
        <v>386.33471999999995</v>
      </c>
      <c r="I35" s="24"/>
    </row>
    <row r="36" spans="1:9" x14ac:dyDescent="0.15">
      <c r="B36" t="s">
        <v>9</v>
      </c>
      <c r="C36" s="24">
        <v>22</v>
      </c>
      <c r="D36" s="24" t="s">
        <v>181</v>
      </c>
      <c r="E36" s="24">
        <f>HEX2DEC(D36)</f>
        <v>123863</v>
      </c>
      <c r="F36" s="40">
        <f t="shared" si="6"/>
        <v>29.727119999999999</v>
      </c>
      <c r="G36" s="24">
        <v>13533184</v>
      </c>
      <c r="H36" s="27">
        <f>表9_15161718242930313233343540414261855122129176183525657[[#This Row],[Core Cycle'#/Frame]]*30/1000/1000</f>
        <v>405.99552</v>
      </c>
      <c r="I36" s="24"/>
    </row>
    <row r="37" spans="1:9" x14ac:dyDescent="0.15">
      <c r="B37" t="s">
        <v>10</v>
      </c>
      <c r="C37" s="24">
        <v>23</v>
      </c>
      <c r="D37" s="24" t="s">
        <v>182</v>
      </c>
      <c r="E37" s="24">
        <f t="shared" ref="E37:E38" si="7">HEX2DEC(D37)</f>
        <v>27068</v>
      </c>
      <c r="F37" s="40">
        <f t="shared" si="6"/>
        <v>6.4963199999999999</v>
      </c>
      <c r="G37" s="24">
        <v>13893632</v>
      </c>
      <c r="H37" s="27">
        <f>表9_15161718242930313233343540414261855122129176183525657[[#This Row],[Core Cycle'#/Frame]]*30/1000/1000</f>
        <v>416.80896000000001</v>
      </c>
      <c r="I37" s="24"/>
    </row>
    <row r="38" spans="1:9" x14ac:dyDescent="0.15">
      <c r="B38" t="s">
        <v>9</v>
      </c>
      <c r="C38" s="24">
        <v>22</v>
      </c>
      <c r="D38" s="24" t="s">
        <v>183</v>
      </c>
      <c r="E38" s="24">
        <f t="shared" si="7"/>
        <v>120960</v>
      </c>
      <c r="F38" s="40">
        <f t="shared" si="6"/>
        <v>29.0304</v>
      </c>
      <c r="G38" s="24">
        <v>13467648</v>
      </c>
      <c r="H38" s="27">
        <f>表9_15161718242930313233343540414261855122129176183525657[[#This Row],[Core Cycle'#/Frame]]*30/1000/1000</f>
        <v>404.02944000000002</v>
      </c>
      <c r="I38" s="24"/>
    </row>
    <row r="39" spans="1:9" x14ac:dyDescent="0.15">
      <c r="B39" t="s">
        <v>10</v>
      </c>
      <c r="C39" s="24">
        <v>23</v>
      </c>
      <c r="D39" s="24" t="s">
        <v>184</v>
      </c>
      <c r="E39" s="24">
        <f>HEX2DEC(D39)</f>
        <v>26568</v>
      </c>
      <c r="F39" s="40">
        <f t="shared" si="6"/>
        <v>6.3763199999999998</v>
      </c>
      <c r="G39" s="24">
        <v>13893632</v>
      </c>
      <c r="H39" s="27">
        <f>表9_15161718242930313233343540414261855122129176183525657[[#This Row],[Core Cycle'#/Frame]]*30/1000/1000</f>
        <v>416.80896000000001</v>
      </c>
      <c r="I39" s="24"/>
    </row>
    <row r="40" spans="1:9" x14ac:dyDescent="0.15">
      <c r="B40" t="s">
        <v>91</v>
      </c>
      <c r="C40" s="24">
        <v>22</v>
      </c>
      <c r="D40" s="27" t="s">
        <v>185</v>
      </c>
      <c r="E40" s="24">
        <f>HEX2DEC(D40)</f>
        <v>126635</v>
      </c>
      <c r="F40" s="40">
        <f t="shared" si="6"/>
        <v>30.392400000000002</v>
      </c>
      <c r="G40" s="24">
        <v>13336576</v>
      </c>
      <c r="H40" s="27">
        <f>表9_15161718242930313233343540414261855122129176183525657[[#This Row],[Core Cycle'#/Frame]]*30/1000/1000</f>
        <v>400.09728000000001</v>
      </c>
      <c r="I40" s="24"/>
    </row>
    <row r="42" spans="1:9" x14ac:dyDescent="0.15">
      <c r="A42" s="3" t="s">
        <v>178</v>
      </c>
      <c r="B42" s="4"/>
      <c r="C42" s="26"/>
      <c r="D42" s="29"/>
      <c r="E42" s="29"/>
      <c r="F42" s="29"/>
      <c r="G42" s="29"/>
      <c r="H42" s="29"/>
      <c r="I42" s="26"/>
    </row>
    <row r="43" spans="1:9" x14ac:dyDescent="0.15">
      <c r="A43" t="s">
        <v>186</v>
      </c>
      <c r="C43" s="24"/>
      <c r="D43" s="24"/>
      <c r="E43" s="24"/>
      <c r="F43" s="24"/>
      <c r="G43" s="24"/>
      <c r="H43" s="24"/>
      <c r="I43" s="24"/>
    </row>
    <row r="44" spans="1:9" x14ac:dyDescent="0.15">
      <c r="A44" s="1" t="s">
        <v>1</v>
      </c>
      <c r="B44" s="1" t="s">
        <v>2</v>
      </c>
      <c r="C44" s="25" t="s">
        <v>158</v>
      </c>
      <c r="D44" s="25" t="s">
        <v>288</v>
      </c>
      <c r="E44" s="25" t="s">
        <v>262</v>
      </c>
      <c r="F44" s="25" t="s">
        <v>166</v>
      </c>
      <c r="G44" s="25" t="s">
        <v>165</v>
      </c>
      <c r="H44" s="49" t="s">
        <v>264</v>
      </c>
      <c r="I44" s="25" t="s">
        <v>159</v>
      </c>
    </row>
    <row r="45" spans="1:9" x14ac:dyDescent="0.15">
      <c r="A45" t="s">
        <v>3</v>
      </c>
      <c r="B45" t="s">
        <v>0</v>
      </c>
      <c r="C45" s="24">
        <v>19</v>
      </c>
      <c r="D45" s="24" t="s">
        <v>187</v>
      </c>
      <c r="E45" s="24">
        <f>HEX2DEC(D45)</f>
        <v>968469</v>
      </c>
      <c r="F45" s="40">
        <f t="shared" ref="F45:F50" si="8">E45*8*30/1000/1000</f>
        <v>232.43256</v>
      </c>
      <c r="G45" s="24">
        <v>12976128</v>
      </c>
      <c r="H45" s="27">
        <f>表9_1516171824293031323334354041426185512212917618352565758[[#This Row],[Core Cycle'#/Frame]]*30/1000/1000</f>
        <v>389.28384</v>
      </c>
      <c r="I45" s="24"/>
    </row>
    <row r="46" spans="1:9" x14ac:dyDescent="0.15">
      <c r="B46" t="s">
        <v>9</v>
      </c>
      <c r="C46" s="24">
        <v>20</v>
      </c>
      <c r="D46" s="24" t="s">
        <v>188</v>
      </c>
      <c r="E46" s="24">
        <f>HEX2DEC(D46)</f>
        <v>232845</v>
      </c>
      <c r="F46" s="40">
        <f t="shared" si="8"/>
        <v>55.882800000000003</v>
      </c>
      <c r="G46" s="24">
        <v>13565952</v>
      </c>
      <c r="H46" s="27">
        <f>表9_1516171824293031323334354041426185512212917618352565758[[#This Row],[Core Cycle'#/Frame]]*30/1000/1000</f>
        <v>406.97856000000002</v>
      </c>
      <c r="I46" s="24"/>
    </row>
    <row r="47" spans="1:9" x14ac:dyDescent="0.15">
      <c r="B47" t="s">
        <v>10</v>
      </c>
      <c r="C47" s="24">
        <v>21</v>
      </c>
      <c r="D47" s="24" t="s">
        <v>189</v>
      </c>
      <c r="E47" s="24">
        <f t="shared" ref="E47:E48" si="9">HEX2DEC(D47)</f>
        <v>37365</v>
      </c>
      <c r="F47" s="40">
        <f t="shared" si="8"/>
        <v>8.9676000000000009</v>
      </c>
      <c r="G47" s="24">
        <v>13893632</v>
      </c>
      <c r="H47" s="27">
        <f>表9_1516171824293031323334354041426185512212917618352565758[[#This Row],[Core Cycle'#/Frame]]*30/1000/1000</f>
        <v>416.80896000000001</v>
      </c>
      <c r="I47" s="24"/>
    </row>
    <row r="48" spans="1:9" x14ac:dyDescent="0.15">
      <c r="B48" t="s">
        <v>9</v>
      </c>
      <c r="C48" s="24">
        <v>20</v>
      </c>
      <c r="D48" s="24" t="s">
        <v>190</v>
      </c>
      <c r="E48" s="24">
        <f t="shared" si="9"/>
        <v>181202</v>
      </c>
      <c r="F48" s="40">
        <f t="shared" si="8"/>
        <v>43.488480000000003</v>
      </c>
      <c r="G48" s="24">
        <v>13500416</v>
      </c>
      <c r="H48" s="27">
        <f>表9_1516171824293031323334354041426185512212917618352565758[[#This Row],[Core Cycle'#/Frame]]*30/1000/1000</f>
        <v>405.01247999999998</v>
      </c>
      <c r="I48" s="24"/>
    </row>
    <row r="49" spans="1:9" x14ac:dyDescent="0.15">
      <c r="B49" t="s">
        <v>10</v>
      </c>
      <c r="C49" s="24">
        <v>21</v>
      </c>
      <c r="D49" s="24" t="s">
        <v>191</v>
      </c>
      <c r="E49" s="24">
        <f>HEX2DEC(D49)</f>
        <v>36182</v>
      </c>
      <c r="F49" s="40">
        <f t="shared" si="8"/>
        <v>8.6836800000000007</v>
      </c>
      <c r="G49" s="24">
        <v>13762560</v>
      </c>
      <c r="H49" s="27">
        <f>表9_1516171824293031323334354041426185512212917618352565758[[#This Row],[Core Cycle'#/Frame]]*30/1000/1000</f>
        <v>412.8768</v>
      </c>
      <c r="I49" s="24"/>
    </row>
    <row r="50" spans="1:9" x14ac:dyDescent="0.15">
      <c r="B50" t="s">
        <v>91</v>
      </c>
      <c r="C50" s="24">
        <v>20</v>
      </c>
      <c r="D50" s="27" t="s">
        <v>192</v>
      </c>
      <c r="E50" s="24">
        <f>HEX2DEC(D50)</f>
        <v>187088</v>
      </c>
      <c r="F50" s="40">
        <f t="shared" si="8"/>
        <v>44.901120000000006</v>
      </c>
      <c r="G50" s="24">
        <v>13402112</v>
      </c>
      <c r="H50" s="27">
        <f>表9_1516171824293031323334354041426185512212917618352565758[[#This Row],[Core Cycle'#/Frame]]*30/1000/1000</f>
        <v>402.06335999999999</v>
      </c>
      <c r="I50" s="24"/>
    </row>
    <row r="52" spans="1:9" x14ac:dyDescent="0.15">
      <c r="A52" s="3" t="s">
        <v>178</v>
      </c>
      <c r="B52" s="4"/>
      <c r="C52" s="26"/>
      <c r="D52" s="29"/>
      <c r="E52" s="29"/>
      <c r="F52" s="29"/>
      <c r="G52" s="29"/>
      <c r="H52" s="29"/>
      <c r="I52" s="26"/>
    </row>
    <row r="53" spans="1:9" x14ac:dyDescent="0.15">
      <c r="A53" t="s">
        <v>193</v>
      </c>
      <c r="C53" s="24"/>
      <c r="D53" s="24"/>
      <c r="E53" s="24"/>
      <c r="F53" s="24"/>
      <c r="G53" s="24"/>
      <c r="H53" s="24"/>
      <c r="I53" s="24"/>
    </row>
    <row r="54" spans="1:9" x14ac:dyDescent="0.15">
      <c r="A54" s="1" t="s">
        <v>1</v>
      </c>
      <c r="B54" s="1" t="s">
        <v>2</v>
      </c>
      <c r="C54" s="25" t="s">
        <v>158</v>
      </c>
      <c r="D54" s="25" t="s">
        <v>288</v>
      </c>
      <c r="E54" s="25" t="s">
        <v>262</v>
      </c>
      <c r="F54" s="25" t="s">
        <v>166</v>
      </c>
      <c r="G54" s="25" t="s">
        <v>165</v>
      </c>
      <c r="H54" s="49" t="s">
        <v>264</v>
      </c>
      <c r="I54" s="25" t="s">
        <v>159</v>
      </c>
    </row>
    <row r="55" spans="1:9" x14ac:dyDescent="0.15">
      <c r="A55" t="s">
        <v>3</v>
      </c>
      <c r="B55" t="s">
        <v>0</v>
      </c>
      <c r="C55" s="24">
        <v>17</v>
      </c>
      <c r="D55" s="24" t="s">
        <v>194</v>
      </c>
      <c r="E55" s="24">
        <f>HEX2DEC(D55)</f>
        <v>1422554</v>
      </c>
      <c r="F55" s="40">
        <f t="shared" ref="F55:F60" si="10">E55*8*30/1000/1000</f>
        <v>341.41296</v>
      </c>
      <c r="G55" s="24">
        <v>13008896</v>
      </c>
      <c r="H55" s="27">
        <f>表9_151617182429303132333435404142618551221291761835256575859[[#This Row],[Core Cycle'#/Frame]]*30/1000/1000</f>
        <v>390.26688000000001</v>
      </c>
      <c r="I55" s="24"/>
    </row>
    <row r="56" spans="1:9" x14ac:dyDescent="0.15">
      <c r="B56" t="s">
        <v>9</v>
      </c>
      <c r="C56" s="24">
        <v>18</v>
      </c>
      <c r="D56" s="24" t="s">
        <v>195</v>
      </c>
      <c r="E56" s="24">
        <f>HEX2DEC(D56)</f>
        <v>580917</v>
      </c>
      <c r="F56" s="40">
        <f t="shared" si="10"/>
        <v>139.42007999999998</v>
      </c>
      <c r="G56" s="24">
        <v>13565952</v>
      </c>
      <c r="H56" s="27">
        <f>表9_151617182429303132333435404142618551221291761835256575859[[#This Row],[Core Cycle'#/Frame]]*30/1000/1000</f>
        <v>406.97856000000002</v>
      </c>
      <c r="I56" s="24"/>
    </row>
    <row r="57" spans="1:9" x14ac:dyDescent="0.15">
      <c r="B57" t="s">
        <v>10</v>
      </c>
      <c r="C57" s="24">
        <v>19</v>
      </c>
      <c r="D57" s="24" t="s">
        <v>196</v>
      </c>
      <c r="E57" s="24">
        <f t="shared" ref="E57:E58" si="11">HEX2DEC(D57)</f>
        <v>50807</v>
      </c>
      <c r="F57" s="40">
        <f t="shared" si="10"/>
        <v>12.193680000000001</v>
      </c>
      <c r="G57" s="24">
        <v>13991936</v>
      </c>
      <c r="H57" s="27">
        <f>表9_151617182429303132333435404142618551221291761835256575859[[#This Row],[Core Cycle'#/Frame]]*30/1000/1000</f>
        <v>419.75808000000001</v>
      </c>
      <c r="I57" s="24"/>
    </row>
    <row r="58" spans="1:9" x14ac:dyDescent="0.15">
      <c r="B58" t="s">
        <v>9</v>
      </c>
      <c r="C58" s="24">
        <v>18</v>
      </c>
      <c r="D58" s="24" t="s">
        <v>197</v>
      </c>
      <c r="E58" s="24">
        <f t="shared" si="11"/>
        <v>402934</v>
      </c>
      <c r="F58" s="40">
        <f t="shared" si="10"/>
        <v>96.704160000000002</v>
      </c>
      <c r="G58" s="24">
        <v>13565952</v>
      </c>
      <c r="H58" s="27">
        <f>表9_151617182429303132333435404142618551221291761835256575859[[#This Row],[Core Cycle'#/Frame]]*30/1000/1000</f>
        <v>406.97856000000002</v>
      </c>
      <c r="I58" s="24"/>
    </row>
    <row r="59" spans="1:9" x14ac:dyDescent="0.15">
      <c r="B59" t="s">
        <v>10</v>
      </c>
      <c r="C59" s="24">
        <v>19</v>
      </c>
      <c r="D59" s="24" t="s">
        <v>198</v>
      </c>
      <c r="E59" s="24">
        <f>HEX2DEC(D59)</f>
        <v>48551</v>
      </c>
      <c r="F59" s="40">
        <f t="shared" si="10"/>
        <v>11.652239999999999</v>
      </c>
      <c r="G59" s="24">
        <v>13828096</v>
      </c>
      <c r="H59" s="27">
        <f>表9_151617182429303132333435404142618551221291761835256575859[[#This Row],[Core Cycle'#/Frame]]*30/1000/1000</f>
        <v>414.84287999999998</v>
      </c>
      <c r="I59" s="24"/>
    </row>
    <row r="60" spans="1:9" x14ac:dyDescent="0.15">
      <c r="B60" t="s">
        <v>91</v>
      </c>
      <c r="C60" s="24">
        <v>18</v>
      </c>
      <c r="D60" s="27" t="s">
        <v>199</v>
      </c>
      <c r="E60" s="24">
        <f>HEX2DEC(D60)</f>
        <v>390539</v>
      </c>
      <c r="F60" s="40">
        <f t="shared" si="10"/>
        <v>93.72936</v>
      </c>
      <c r="G60" s="24">
        <v>13500416</v>
      </c>
      <c r="H60" s="27">
        <f>表9_151617182429303132333435404142618551221291761835256575859[[#This Row],[Core Cycle'#/Frame]]*30/1000/1000</f>
        <v>405.01247999999998</v>
      </c>
      <c r="I60" s="24"/>
    </row>
    <row r="62" spans="1:9" x14ac:dyDescent="0.15">
      <c r="A62" s="3" t="s">
        <v>178</v>
      </c>
      <c r="B62" s="4"/>
      <c r="C62" s="26"/>
      <c r="D62" s="29"/>
      <c r="E62" s="29"/>
      <c r="F62" s="29"/>
      <c r="G62" s="29"/>
      <c r="H62" s="29"/>
      <c r="I62" s="26"/>
    </row>
    <row r="63" spans="1:9" x14ac:dyDescent="0.15">
      <c r="A63" t="s">
        <v>200</v>
      </c>
      <c r="C63" s="24"/>
      <c r="D63" s="24"/>
      <c r="E63" s="24"/>
      <c r="F63" s="24"/>
      <c r="G63" s="24"/>
      <c r="H63" s="24"/>
      <c r="I63" s="24"/>
    </row>
    <row r="64" spans="1:9" x14ac:dyDescent="0.15">
      <c r="A64" s="1" t="s">
        <v>1</v>
      </c>
      <c r="B64" s="1" t="s">
        <v>2</v>
      </c>
      <c r="C64" s="25" t="s">
        <v>158</v>
      </c>
      <c r="D64" s="25" t="s">
        <v>288</v>
      </c>
      <c r="E64" s="25" t="s">
        <v>262</v>
      </c>
      <c r="F64" s="25" t="s">
        <v>166</v>
      </c>
      <c r="G64" s="25" t="s">
        <v>165</v>
      </c>
      <c r="H64" s="49" t="s">
        <v>264</v>
      </c>
      <c r="I64" s="25" t="s">
        <v>159</v>
      </c>
    </row>
    <row r="65" spans="1:9" x14ac:dyDescent="0.15">
      <c r="A65" t="s">
        <v>3</v>
      </c>
      <c r="B65" t="s">
        <v>0</v>
      </c>
      <c r="C65" s="24">
        <v>16</v>
      </c>
      <c r="D65" s="24" t="s">
        <v>201</v>
      </c>
      <c r="E65" s="24">
        <f>HEX2DEC(D65)</f>
        <v>1757092</v>
      </c>
      <c r="F65" s="40">
        <f t="shared" ref="F65:F70" si="12">E65*8*30/1000/1000</f>
        <v>421.70208000000002</v>
      </c>
      <c r="G65" s="24">
        <v>13008896</v>
      </c>
      <c r="H65" s="27">
        <f>表9_15161718242930313233343540414261855122129176183525657585960[[#This Row],[Core Cycle'#/Frame]]*30/1000/1000</f>
        <v>390.26688000000001</v>
      </c>
      <c r="I65" s="24"/>
    </row>
    <row r="66" spans="1:9" x14ac:dyDescent="0.15">
      <c r="B66" t="s">
        <v>9</v>
      </c>
      <c r="C66" s="24">
        <v>17</v>
      </c>
      <c r="D66" s="24" t="s">
        <v>202</v>
      </c>
      <c r="E66" s="24">
        <f>HEX2DEC(D66)</f>
        <v>939132</v>
      </c>
      <c r="F66" s="40">
        <f t="shared" si="12"/>
        <v>225.39167999999998</v>
      </c>
      <c r="G66" s="24">
        <v>13434880</v>
      </c>
      <c r="H66" s="27">
        <f>表9_15161718242930313233343540414261855122129176183525657585960[[#This Row],[Core Cycle'#/Frame]]*30/1000/1000</f>
        <v>403.04640000000001</v>
      </c>
      <c r="I66" s="24"/>
    </row>
    <row r="67" spans="1:9" x14ac:dyDescent="0.15">
      <c r="B67" t="s">
        <v>10</v>
      </c>
      <c r="C67" s="24">
        <v>18</v>
      </c>
      <c r="D67" s="24" t="s">
        <v>203</v>
      </c>
      <c r="E67" s="24">
        <f t="shared" ref="E67:E68" si="13">HEX2DEC(D67)</f>
        <v>60061</v>
      </c>
      <c r="F67" s="40">
        <f t="shared" si="12"/>
        <v>14.414639999999999</v>
      </c>
      <c r="G67" s="24">
        <v>14057472</v>
      </c>
      <c r="H67" s="27">
        <f>表9_15161718242930313233343540414261855122129176183525657585960[[#This Row],[Core Cycle'#/Frame]]*30/1000/1000</f>
        <v>421.72415999999998</v>
      </c>
      <c r="I67" s="24"/>
    </row>
    <row r="68" spans="1:9" x14ac:dyDescent="0.15">
      <c r="B68" t="s">
        <v>9</v>
      </c>
      <c r="C68" s="24">
        <v>17</v>
      </c>
      <c r="D68" s="24" t="s">
        <v>204</v>
      </c>
      <c r="E68" s="24">
        <f t="shared" si="13"/>
        <v>831277</v>
      </c>
      <c r="F68" s="40">
        <f t="shared" si="12"/>
        <v>199.50648000000001</v>
      </c>
      <c r="G68" s="24">
        <v>13664256</v>
      </c>
      <c r="H68" s="27">
        <f>表9_15161718242930313233343540414261855122129176183525657585960[[#This Row],[Core Cycle'#/Frame]]*30/1000/1000</f>
        <v>409.92768000000001</v>
      </c>
      <c r="I68" s="24"/>
    </row>
    <row r="69" spans="1:9" x14ac:dyDescent="0.15">
      <c r="B69" t="s">
        <v>10</v>
      </c>
      <c r="C69" s="24">
        <v>18</v>
      </c>
      <c r="D69" s="24" t="s">
        <v>205</v>
      </c>
      <c r="E69" s="24">
        <f>HEX2DEC(D69)</f>
        <v>57598</v>
      </c>
      <c r="F69" s="40">
        <f t="shared" si="12"/>
        <v>13.82352</v>
      </c>
      <c r="G69" s="24">
        <v>13926400</v>
      </c>
      <c r="H69" s="27">
        <f>表9_15161718242930313233343540414261855122129176183525657585960[[#This Row],[Core Cycle'#/Frame]]*30/1000/1000</f>
        <v>417.79199999999997</v>
      </c>
      <c r="I69" s="24"/>
    </row>
    <row r="70" spans="1:9" x14ac:dyDescent="0.15">
      <c r="B70" t="s">
        <v>91</v>
      </c>
      <c r="C70" s="24">
        <v>17</v>
      </c>
      <c r="D70" s="27" t="s">
        <v>206</v>
      </c>
      <c r="E70" s="24">
        <f>HEX2DEC(D70)</f>
        <v>820894</v>
      </c>
      <c r="F70" s="40">
        <f t="shared" si="12"/>
        <v>197.01455999999999</v>
      </c>
      <c r="G70" s="24">
        <v>13598720</v>
      </c>
      <c r="H70" s="27">
        <f>表9_15161718242930313233343540414261855122129176183525657585960[[#This Row],[Core Cycle'#/Frame]]*30/1000/1000</f>
        <v>407.96159999999998</v>
      </c>
      <c r="I70" s="24"/>
    </row>
    <row r="72" spans="1:9" x14ac:dyDescent="0.15">
      <c r="A72" s="3" t="s">
        <v>178</v>
      </c>
      <c r="B72" s="4"/>
      <c r="C72" s="26"/>
      <c r="D72" s="29"/>
      <c r="E72" s="29"/>
      <c r="F72" s="29"/>
      <c r="G72" s="29"/>
      <c r="H72" s="29"/>
      <c r="I72" s="26"/>
    </row>
    <row r="73" spans="1:9" x14ac:dyDescent="0.15">
      <c r="A73" t="s">
        <v>207</v>
      </c>
      <c r="C73" s="24"/>
      <c r="D73" s="24"/>
      <c r="E73" s="24"/>
      <c r="F73" s="24"/>
      <c r="G73" s="24"/>
      <c r="H73" s="24"/>
      <c r="I73" s="24"/>
    </row>
    <row r="74" spans="1:9" x14ac:dyDescent="0.15">
      <c r="A74" s="1" t="s">
        <v>1</v>
      </c>
      <c r="B74" s="1" t="s">
        <v>2</v>
      </c>
      <c r="C74" s="25" t="s">
        <v>158</v>
      </c>
      <c r="D74" s="25" t="s">
        <v>287</v>
      </c>
      <c r="E74" s="25" t="s">
        <v>262</v>
      </c>
      <c r="F74" s="25" t="s">
        <v>166</v>
      </c>
      <c r="G74" s="25" t="s">
        <v>165</v>
      </c>
      <c r="H74" s="49" t="s">
        <v>264</v>
      </c>
      <c r="I74" s="25" t="s">
        <v>159</v>
      </c>
    </row>
    <row r="75" spans="1:9" x14ac:dyDescent="0.15">
      <c r="A75" t="s">
        <v>3</v>
      </c>
      <c r="B75" t="s">
        <v>0</v>
      </c>
      <c r="C75" s="24">
        <v>15</v>
      </c>
      <c r="D75" s="24" t="s">
        <v>208</v>
      </c>
      <c r="E75" s="24">
        <f>HEX2DEC(D75)</f>
        <v>1875636</v>
      </c>
      <c r="F75" s="40">
        <f t="shared" ref="F75:F80" si="14">E75*8*30/1000/1000</f>
        <v>450.15264000000002</v>
      </c>
      <c r="G75" s="24">
        <v>13008896</v>
      </c>
      <c r="H75" s="27">
        <f>表9_1516171824293031323334354041426185512212917618352565758596061[[#This Row],[Core Cycle'#/Frame]]*30/1000/1000</f>
        <v>390.26688000000001</v>
      </c>
      <c r="I75" s="24"/>
    </row>
    <row r="76" spans="1:9" x14ac:dyDescent="0.15">
      <c r="B76" t="s">
        <v>9</v>
      </c>
      <c r="C76" s="24">
        <v>16</v>
      </c>
      <c r="D76" s="24" t="s">
        <v>209</v>
      </c>
      <c r="E76" s="24">
        <f>HEX2DEC(D76)</f>
        <v>1092053</v>
      </c>
      <c r="F76" s="40">
        <f t="shared" si="14"/>
        <v>262.09271999999999</v>
      </c>
      <c r="G76" s="24">
        <v>13533184</v>
      </c>
      <c r="H76" s="27">
        <f>表9_1516171824293031323334354041426185512212917618352565758596061[[#This Row],[Core Cycle'#/Frame]]*30/1000/1000</f>
        <v>405.99552</v>
      </c>
      <c r="I76" s="24"/>
    </row>
    <row r="77" spans="1:9" x14ac:dyDescent="0.15">
      <c r="B77" t="s">
        <v>10</v>
      </c>
      <c r="C77" s="24">
        <v>17</v>
      </c>
      <c r="D77" s="24">
        <v>12212</v>
      </c>
      <c r="E77" s="24">
        <f t="shared" ref="E77:E78" si="15">HEX2DEC(D77)</f>
        <v>74258</v>
      </c>
      <c r="F77" s="40">
        <f t="shared" si="14"/>
        <v>17.821919999999999</v>
      </c>
      <c r="G77" s="24">
        <v>13991936</v>
      </c>
      <c r="H77" s="27">
        <f>表9_1516171824293031323334354041426185512212917618352565758596061[[#This Row],[Core Cycle'#/Frame]]*30/1000/1000</f>
        <v>419.75808000000001</v>
      </c>
      <c r="I77" s="24"/>
    </row>
    <row r="78" spans="1:9" x14ac:dyDescent="0.15">
      <c r="B78" t="s">
        <v>9</v>
      </c>
      <c r="C78" s="24">
        <v>16</v>
      </c>
      <c r="D78" s="24" t="s">
        <v>210</v>
      </c>
      <c r="E78" s="24">
        <f t="shared" si="15"/>
        <v>974391</v>
      </c>
      <c r="F78" s="40">
        <f t="shared" si="14"/>
        <v>233.85383999999999</v>
      </c>
      <c r="G78" s="24">
        <v>13697024</v>
      </c>
      <c r="H78" s="27">
        <f>表9_1516171824293031323334354041426185512212917618352565758596061[[#This Row],[Core Cycle'#/Frame]]*30/1000/1000</f>
        <v>410.91071999999997</v>
      </c>
      <c r="I78" s="24"/>
    </row>
    <row r="79" spans="1:9" x14ac:dyDescent="0.15">
      <c r="B79" t="s">
        <v>10</v>
      </c>
      <c r="C79" s="24">
        <v>17</v>
      </c>
      <c r="D79" s="24" t="s">
        <v>211</v>
      </c>
      <c r="E79" s="24">
        <f>HEX2DEC(D79)</f>
        <v>70353</v>
      </c>
      <c r="F79" s="40">
        <f t="shared" si="14"/>
        <v>16.884720000000002</v>
      </c>
      <c r="G79" s="24">
        <v>13926400</v>
      </c>
      <c r="H79" s="27">
        <f>表9_1516171824293031323334354041426185512212917618352565758596061[[#This Row],[Core Cycle'#/Frame]]*30/1000/1000</f>
        <v>417.79199999999997</v>
      </c>
      <c r="I79" s="24"/>
    </row>
    <row r="80" spans="1:9" x14ac:dyDescent="0.15">
      <c r="B80" t="s">
        <v>91</v>
      </c>
      <c r="C80" s="24">
        <v>16</v>
      </c>
      <c r="D80" s="27" t="s">
        <v>212</v>
      </c>
      <c r="E80" s="24">
        <f>HEX2DEC(D80)</f>
        <v>968219</v>
      </c>
      <c r="F80" s="40">
        <f t="shared" si="14"/>
        <v>232.37255999999999</v>
      </c>
      <c r="G80" s="24">
        <v>13631488</v>
      </c>
      <c r="H80" s="27">
        <f>表9_1516171824293031323334354041426185512212917618352565758596061[[#This Row],[Core Cycle'#/Frame]]*30/1000/1000</f>
        <v>408.94463999999999</v>
      </c>
      <c r="I80" s="24"/>
    </row>
    <row r="82" spans="1:9" x14ac:dyDescent="0.15">
      <c r="A82" s="3" t="s">
        <v>178</v>
      </c>
      <c r="B82" s="4"/>
      <c r="C82" s="26"/>
      <c r="D82" s="29"/>
      <c r="E82" s="29"/>
      <c r="F82" s="29"/>
      <c r="G82" s="29"/>
      <c r="H82" s="29"/>
      <c r="I82" s="26"/>
    </row>
    <row r="83" spans="1:9" x14ac:dyDescent="0.15">
      <c r="A83" t="s">
        <v>218</v>
      </c>
      <c r="C83" s="24"/>
      <c r="D83" s="24"/>
      <c r="E83" s="24"/>
      <c r="F83" s="24"/>
      <c r="G83" s="24"/>
      <c r="H83" s="24"/>
      <c r="I83" s="24"/>
    </row>
    <row r="84" spans="1:9" x14ac:dyDescent="0.15">
      <c r="A84" s="1" t="s">
        <v>1</v>
      </c>
      <c r="B84" s="1" t="s">
        <v>2</v>
      </c>
      <c r="C84" s="25" t="s">
        <v>158</v>
      </c>
      <c r="D84" s="25" t="s">
        <v>288</v>
      </c>
      <c r="E84" s="25" t="s">
        <v>262</v>
      </c>
      <c r="F84" s="25" t="s">
        <v>166</v>
      </c>
      <c r="G84" s="25" t="s">
        <v>165</v>
      </c>
      <c r="H84" s="49" t="s">
        <v>264</v>
      </c>
      <c r="I84" s="25" t="s">
        <v>159</v>
      </c>
    </row>
    <row r="85" spans="1:9" x14ac:dyDescent="0.15">
      <c r="A85" t="s">
        <v>3</v>
      </c>
      <c r="B85" t="s">
        <v>0</v>
      </c>
      <c r="C85" s="24">
        <v>14</v>
      </c>
      <c r="D85" s="24" t="s">
        <v>213</v>
      </c>
      <c r="E85" s="24">
        <f>HEX2DEC(D85)</f>
        <v>1985773</v>
      </c>
      <c r="F85" s="40">
        <f t="shared" ref="F85:F90" si="16">E85*8*30/1000/1000</f>
        <v>476.58552000000003</v>
      </c>
      <c r="G85" s="24">
        <v>12976128</v>
      </c>
      <c r="H85" s="27">
        <f>表9_151617182429303132333435404142618551221291761835256575859606162[[#This Row],[Core Cycle'#/Frame]]*30/1000/1000</f>
        <v>389.28384</v>
      </c>
      <c r="I85" s="24"/>
    </row>
    <row r="86" spans="1:9" x14ac:dyDescent="0.15">
      <c r="B86" t="s">
        <v>9</v>
      </c>
      <c r="C86" s="24">
        <v>15</v>
      </c>
      <c r="D86" s="24" t="s">
        <v>214</v>
      </c>
      <c r="E86" s="24">
        <f>HEX2DEC(D86)</f>
        <v>1623402</v>
      </c>
      <c r="F86" s="40">
        <f t="shared" si="16"/>
        <v>389.61647999999997</v>
      </c>
      <c r="G86" s="24">
        <v>13369344</v>
      </c>
      <c r="H86" s="27">
        <f>表9_151617182429303132333435404142618551221291761835256575859606162[[#This Row],[Core Cycle'#/Frame]]*30/1000/1000</f>
        <v>401.08032000000003</v>
      </c>
      <c r="I86" s="24"/>
    </row>
    <row r="87" spans="1:9" x14ac:dyDescent="0.15">
      <c r="B87" t="s">
        <v>10</v>
      </c>
      <c r="C87" s="24">
        <v>16</v>
      </c>
      <c r="D87" s="24" t="s">
        <v>215</v>
      </c>
      <c r="E87" s="24">
        <f t="shared" ref="E87:E88" si="17">HEX2DEC(D87)</f>
        <v>105380</v>
      </c>
      <c r="F87" s="40">
        <f t="shared" si="16"/>
        <v>25.2912</v>
      </c>
      <c r="G87" s="24">
        <v>13959168</v>
      </c>
      <c r="H87" s="27">
        <f>表9_151617182429303132333435404142618551221291761835256575859606162[[#This Row],[Core Cycle'#/Frame]]*30/1000/1000</f>
        <v>418.77503999999999</v>
      </c>
      <c r="I87" s="24"/>
    </row>
    <row r="88" spans="1:9" x14ac:dyDescent="0.15">
      <c r="B88" t="s">
        <v>9</v>
      </c>
      <c r="C88" s="24">
        <v>15</v>
      </c>
      <c r="D88" s="24" t="s">
        <v>216</v>
      </c>
      <c r="E88" s="24">
        <f t="shared" si="17"/>
        <v>1609169</v>
      </c>
      <c r="F88" s="40">
        <f t="shared" si="16"/>
        <v>386.20056</v>
      </c>
      <c r="G88" s="24">
        <v>13434880</v>
      </c>
      <c r="H88" s="27">
        <f>表9_151617182429303132333435404142618551221291761835256575859606162[[#This Row],[Core Cycle'#/Frame]]*30/1000/1000</f>
        <v>403.04640000000001</v>
      </c>
      <c r="I88" s="24"/>
    </row>
    <row r="89" spans="1:9" x14ac:dyDescent="0.15">
      <c r="B89" t="s">
        <v>10</v>
      </c>
      <c r="C89" s="24">
        <v>16</v>
      </c>
      <c r="D89" s="24">
        <v>19227</v>
      </c>
      <c r="E89" s="24">
        <f>HEX2DEC(D89)</f>
        <v>102951</v>
      </c>
      <c r="F89" s="40">
        <f t="shared" si="16"/>
        <v>24.70824</v>
      </c>
      <c r="G89" s="24">
        <v>13893632</v>
      </c>
      <c r="H89" s="27">
        <f>表9_151617182429303132333435404142618551221291761835256575859606162[[#This Row],[Core Cycle'#/Frame]]*30/1000/1000</f>
        <v>416.80896000000001</v>
      </c>
      <c r="I89" s="24"/>
    </row>
    <row r="90" spans="1:9" x14ac:dyDescent="0.15">
      <c r="B90" t="s">
        <v>91</v>
      </c>
      <c r="C90" s="24">
        <v>15</v>
      </c>
      <c r="D90" s="27" t="s">
        <v>217</v>
      </c>
      <c r="E90" s="24">
        <f>HEX2DEC(D90)</f>
        <v>1626868</v>
      </c>
      <c r="F90" s="40">
        <f t="shared" si="16"/>
        <v>390.44832000000002</v>
      </c>
      <c r="G90" s="24">
        <v>13402112</v>
      </c>
      <c r="H90" s="27">
        <f>表9_151617182429303132333435404142618551221291761835256575859606162[[#This Row],[Core Cycle'#/Frame]]*30/1000/1000</f>
        <v>402.06335999999999</v>
      </c>
      <c r="I90" s="24"/>
    </row>
    <row r="92" spans="1:9" x14ac:dyDescent="0.15">
      <c r="A92" s="3" t="s">
        <v>178</v>
      </c>
      <c r="B92" s="4"/>
      <c r="C92" s="26"/>
      <c r="D92" s="29"/>
      <c r="E92" s="29"/>
      <c r="F92" s="29"/>
      <c r="G92" s="29"/>
      <c r="H92" s="29"/>
      <c r="I92" s="26"/>
    </row>
    <row r="93" spans="1:9" x14ac:dyDescent="0.15">
      <c r="A93" t="s">
        <v>225</v>
      </c>
      <c r="C93" s="24"/>
      <c r="D93" s="24"/>
      <c r="E93" s="24"/>
      <c r="F93" s="24"/>
      <c r="G93" s="24"/>
      <c r="H93" s="24"/>
      <c r="I93" s="24"/>
    </row>
    <row r="94" spans="1:9" x14ac:dyDescent="0.15">
      <c r="A94" s="1" t="s">
        <v>1</v>
      </c>
      <c r="B94" s="1" t="s">
        <v>2</v>
      </c>
      <c r="C94" s="25" t="s">
        <v>158</v>
      </c>
      <c r="D94" s="25" t="s">
        <v>288</v>
      </c>
      <c r="E94" s="25" t="s">
        <v>262</v>
      </c>
      <c r="F94" s="25" t="s">
        <v>166</v>
      </c>
      <c r="G94" s="25" t="s">
        <v>165</v>
      </c>
      <c r="H94" s="49" t="s">
        <v>264</v>
      </c>
      <c r="I94" s="25" t="s">
        <v>159</v>
      </c>
    </row>
    <row r="95" spans="1:9" x14ac:dyDescent="0.15">
      <c r="A95" t="s">
        <v>3</v>
      </c>
      <c r="B95" t="s">
        <v>0</v>
      </c>
      <c r="C95" s="24">
        <v>13</v>
      </c>
      <c r="D95" s="43" t="s">
        <v>224</v>
      </c>
      <c r="E95" s="24">
        <f>HEX2DEC(D95)</f>
        <v>2220325</v>
      </c>
      <c r="F95" s="40">
        <f t="shared" ref="F95:F100" si="18">E95*8*30/1000/1000</f>
        <v>532.87800000000004</v>
      </c>
      <c r="G95" s="24">
        <v>12910592</v>
      </c>
      <c r="H95" s="27">
        <f>表9_15161718242930313233343540414261855122129176183525657585960616263[[#This Row],[Core Cycle'#/Frame]]*30/1000/1000</f>
        <v>387.31776000000002</v>
      </c>
      <c r="I95" s="24"/>
    </row>
    <row r="96" spans="1:9" x14ac:dyDescent="0.15">
      <c r="B96" t="s">
        <v>9</v>
      </c>
      <c r="C96" s="24">
        <v>14</v>
      </c>
      <c r="D96" s="24" t="s">
        <v>219</v>
      </c>
      <c r="E96" s="24">
        <f>HEX2DEC(D96)</f>
        <v>1714702</v>
      </c>
      <c r="F96" s="40">
        <f t="shared" si="18"/>
        <v>411.52848</v>
      </c>
      <c r="G96" s="24">
        <v>13467648</v>
      </c>
      <c r="H96" s="27">
        <f>表9_15161718242930313233343540414261855122129176183525657585960616263[[#This Row],[Core Cycle'#/Frame]]*30/1000/1000</f>
        <v>404.02944000000002</v>
      </c>
      <c r="I96" s="24"/>
    </row>
    <row r="97" spans="1:9" x14ac:dyDescent="0.15">
      <c r="B97" t="s">
        <v>10</v>
      </c>
      <c r="C97" s="24">
        <v>15</v>
      </c>
      <c r="D97" s="24" t="s">
        <v>220</v>
      </c>
      <c r="E97" s="24">
        <f t="shared" ref="E97:E98" si="19">HEX2DEC(D97)</f>
        <v>134461</v>
      </c>
      <c r="F97" s="40">
        <f t="shared" si="18"/>
        <v>32.27064</v>
      </c>
      <c r="G97" s="24">
        <v>13828096</v>
      </c>
      <c r="H97" s="27">
        <f>表9_15161718242930313233343540414261855122129176183525657585960616263[[#This Row],[Core Cycle'#/Frame]]*30/1000/1000</f>
        <v>414.84287999999998</v>
      </c>
      <c r="I97" s="24"/>
    </row>
    <row r="98" spans="1:9" x14ac:dyDescent="0.15">
      <c r="B98" t="s">
        <v>9</v>
      </c>
      <c r="C98" s="24">
        <v>14</v>
      </c>
      <c r="D98" s="24" t="s">
        <v>221</v>
      </c>
      <c r="E98" s="24">
        <f t="shared" si="19"/>
        <v>1685480</v>
      </c>
      <c r="F98" s="40">
        <f t="shared" si="18"/>
        <v>404.51519999999999</v>
      </c>
      <c r="G98" s="24">
        <v>13533184</v>
      </c>
      <c r="H98" s="27">
        <f>表9_15161718242930313233343540414261855122129176183525657585960616263[[#This Row],[Core Cycle'#/Frame]]*30/1000/1000</f>
        <v>405.99552</v>
      </c>
      <c r="I98" s="24"/>
    </row>
    <row r="99" spans="1:9" x14ac:dyDescent="0.15">
      <c r="B99" t="s">
        <v>10</v>
      </c>
      <c r="C99" s="24">
        <v>15</v>
      </c>
      <c r="D99" s="24" t="s">
        <v>222</v>
      </c>
      <c r="E99" s="24">
        <f>HEX2DEC(D99)</f>
        <v>127011</v>
      </c>
      <c r="F99" s="40">
        <f t="shared" si="18"/>
        <v>30.48264</v>
      </c>
      <c r="G99" s="24">
        <v>13795328</v>
      </c>
      <c r="H99" s="27">
        <f>表9_15161718242930313233343540414261855122129176183525657585960616263[[#This Row],[Core Cycle'#/Frame]]*30/1000/1000</f>
        <v>413.85984000000002</v>
      </c>
      <c r="I99" s="24"/>
    </row>
    <row r="100" spans="1:9" x14ac:dyDescent="0.15">
      <c r="B100" t="s">
        <v>91</v>
      </c>
      <c r="C100" s="24">
        <v>14</v>
      </c>
      <c r="D100" s="27" t="s">
        <v>223</v>
      </c>
      <c r="E100" s="24">
        <f>HEX2DEC(D100)</f>
        <v>1706374</v>
      </c>
      <c r="F100" s="40">
        <f t="shared" si="18"/>
        <v>409.52976000000001</v>
      </c>
      <c r="G100" s="24">
        <v>13500416</v>
      </c>
      <c r="H100" s="27">
        <f>表9_15161718242930313233343540414261855122129176183525657585960616263[[#This Row],[Core Cycle'#/Frame]]*30/1000/1000</f>
        <v>405.01247999999998</v>
      </c>
      <c r="I100" s="24"/>
    </row>
    <row r="102" spans="1:9" x14ac:dyDescent="0.15">
      <c r="A102" s="3" t="s">
        <v>178</v>
      </c>
      <c r="B102" s="4"/>
      <c r="C102" s="26"/>
      <c r="D102" s="29"/>
      <c r="E102" s="29"/>
      <c r="F102" s="29"/>
      <c r="G102" s="29"/>
      <c r="H102" s="29"/>
      <c r="I102" s="26"/>
    </row>
    <row r="103" spans="1:9" x14ac:dyDescent="0.15">
      <c r="A103" t="s">
        <v>226</v>
      </c>
      <c r="C103" s="24"/>
      <c r="D103" s="24"/>
      <c r="E103" s="24"/>
      <c r="F103" s="24"/>
      <c r="G103" s="24"/>
      <c r="H103" s="24"/>
      <c r="I103" s="24"/>
    </row>
    <row r="104" spans="1:9" x14ac:dyDescent="0.15">
      <c r="A104" s="1" t="s">
        <v>1</v>
      </c>
      <c r="B104" s="1" t="s">
        <v>2</v>
      </c>
      <c r="C104" s="25" t="s">
        <v>158</v>
      </c>
      <c r="D104" s="25" t="s">
        <v>287</v>
      </c>
      <c r="E104" s="25" t="s">
        <v>262</v>
      </c>
      <c r="F104" s="25" t="s">
        <v>166</v>
      </c>
      <c r="G104" s="25" t="s">
        <v>165</v>
      </c>
      <c r="H104" s="49" t="s">
        <v>264</v>
      </c>
      <c r="I104" s="25" t="s">
        <v>159</v>
      </c>
    </row>
    <row r="105" spans="1:9" x14ac:dyDescent="0.15">
      <c r="A105" t="s">
        <v>3</v>
      </c>
      <c r="B105" t="s">
        <v>0</v>
      </c>
      <c r="C105" s="24">
        <v>12</v>
      </c>
      <c r="D105" s="43" t="s">
        <v>227</v>
      </c>
      <c r="E105" s="24">
        <f>HEX2DEC(D105)</f>
        <v>2394341</v>
      </c>
      <c r="F105" s="40">
        <f>E105*8*30/1000/1000</f>
        <v>574.64184</v>
      </c>
      <c r="G105" s="24">
        <v>12779520</v>
      </c>
      <c r="H105" s="27">
        <f>表9_1516171824293031323334354041426185512212917618352565758596061626364[[#This Row],[Core Cycle'#/Frame]]*30/1000/1000</f>
        <v>383.38559999999995</v>
      </c>
      <c r="I105" s="24"/>
    </row>
    <row r="106" spans="1:9" x14ac:dyDescent="0.15">
      <c r="B106" t="s">
        <v>9</v>
      </c>
      <c r="C106" s="24">
        <v>13</v>
      </c>
      <c r="D106" s="24" t="s">
        <v>228</v>
      </c>
      <c r="E106" s="24">
        <f>HEX2DEC(D106)</f>
        <v>1796463</v>
      </c>
      <c r="F106" s="40">
        <f t="shared" ref="F106:F110" si="20">E106*8*30/1000/1000</f>
        <v>431.15111999999999</v>
      </c>
      <c r="G106" s="24">
        <v>13631488</v>
      </c>
      <c r="H106" s="27">
        <f>表9_1516171824293031323334354041426185512212917618352565758596061626364[[#This Row],[Core Cycle'#/Frame]]*30/1000/1000</f>
        <v>408.94463999999999</v>
      </c>
      <c r="I106" s="24"/>
    </row>
    <row r="107" spans="1:9" x14ac:dyDescent="0.15">
      <c r="B107" t="s">
        <v>10</v>
      </c>
      <c r="C107" s="24">
        <v>14</v>
      </c>
      <c r="D107" s="24">
        <v>37586</v>
      </c>
      <c r="E107" s="24">
        <f t="shared" ref="E107:E108" si="21">HEX2DEC(D107)</f>
        <v>226694</v>
      </c>
      <c r="F107" s="40">
        <f t="shared" si="20"/>
        <v>54.406559999999999</v>
      </c>
      <c r="G107" s="24">
        <v>13762560</v>
      </c>
      <c r="H107" s="27">
        <f>表9_1516171824293031323334354041426185512212917618352565758596061626364[[#This Row],[Core Cycle'#/Frame]]*30/1000/1000</f>
        <v>412.8768</v>
      </c>
      <c r="I107" s="24"/>
    </row>
    <row r="108" spans="1:9" x14ac:dyDescent="0.15">
      <c r="B108" t="s">
        <v>9</v>
      </c>
      <c r="C108" s="24">
        <v>13</v>
      </c>
      <c r="D108" s="24" t="s">
        <v>229</v>
      </c>
      <c r="E108" s="24">
        <f t="shared" si="21"/>
        <v>1766820</v>
      </c>
      <c r="F108" s="40">
        <f t="shared" si="20"/>
        <v>424.03679999999997</v>
      </c>
      <c r="G108" s="24">
        <v>13631488</v>
      </c>
      <c r="H108" s="27">
        <f>表9_1516171824293031323334354041426185512212917618352565758596061626364[[#This Row],[Core Cycle'#/Frame]]*30/1000/1000</f>
        <v>408.94463999999999</v>
      </c>
      <c r="I108" s="24"/>
    </row>
    <row r="109" spans="1:9" x14ac:dyDescent="0.15">
      <c r="B109" t="s">
        <v>10</v>
      </c>
      <c r="C109" s="24">
        <v>14</v>
      </c>
      <c r="D109" s="24">
        <v>32083</v>
      </c>
      <c r="E109" s="24">
        <f>HEX2DEC(D109)</f>
        <v>204931</v>
      </c>
      <c r="F109" s="40">
        <f t="shared" si="20"/>
        <v>49.183440000000004</v>
      </c>
      <c r="G109" s="24">
        <v>13697024</v>
      </c>
      <c r="H109" s="27">
        <f>表9_1516171824293031323334354041426185512212917618352565758596061626364[[#This Row],[Core Cycle'#/Frame]]*30/1000/1000</f>
        <v>410.91071999999997</v>
      </c>
      <c r="I109" s="24"/>
    </row>
    <row r="110" spans="1:9" x14ac:dyDescent="0.15">
      <c r="B110" t="s">
        <v>91</v>
      </c>
      <c r="C110" s="24">
        <v>13</v>
      </c>
      <c r="D110" s="27" t="s">
        <v>230</v>
      </c>
      <c r="E110" s="24">
        <f>HEX2DEC(D110)</f>
        <v>1785266</v>
      </c>
      <c r="F110" s="40">
        <f t="shared" si="20"/>
        <v>428.46384</v>
      </c>
      <c r="G110" s="24">
        <v>13598720</v>
      </c>
      <c r="H110" s="27">
        <f>表9_1516171824293031323334354041426185512212917618352565758596061626364[[#This Row],[Core Cycle'#/Frame]]*30/1000/1000</f>
        <v>407.96159999999998</v>
      </c>
      <c r="I110" s="24"/>
    </row>
    <row r="112" spans="1:9" x14ac:dyDescent="0.15">
      <c r="A112" s="3" t="s">
        <v>178</v>
      </c>
      <c r="B112" s="4"/>
      <c r="C112" s="26"/>
      <c r="D112" s="29"/>
      <c r="E112" s="29"/>
      <c r="F112" s="29"/>
      <c r="G112" s="29"/>
      <c r="H112" s="29"/>
      <c r="I112" s="26"/>
    </row>
    <row r="113" spans="1:9" x14ac:dyDescent="0.15">
      <c r="A113" t="s">
        <v>231</v>
      </c>
      <c r="C113" s="24"/>
      <c r="D113" s="24"/>
      <c r="E113" s="24"/>
      <c r="F113" s="24"/>
      <c r="G113" s="24"/>
      <c r="H113" s="24"/>
      <c r="I113" s="24"/>
    </row>
    <row r="114" spans="1:9" x14ac:dyDescent="0.15">
      <c r="A114" s="1" t="s">
        <v>1</v>
      </c>
      <c r="B114" s="1" t="s">
        <v>2</v>
      </c>
      <c r="C114" s="25" t="s">
        <v>158</v>
      </c>
      <c r="D114" s="25" t="s">
        <v>287</v>
      </c>
      <c r="E114" s="25" t="s">
        <v>262</v>
      </c>
      <c r="F114" s="25" t="s">
        <v>166</v>
      </c>
      <c r="G114" s="25" t="s">
        <v>165</v>
      </c>
      <c r="H114" s="49" t="s">
        <v>264</v>
      </c>
      <c r="I114" s="25" t="s">
        <v>159</v>
      </c>
    </row>
    <row r="115" spans="1:9" x14ac:dyDescent="0.15">
      <c r="A115" t="s">
        <v>3</v>
      </c>
      <c r="B115" t="s">
        <v>0</v>
      </c>
      <c r="C115" s="24">
        <v>11</v>
      </c>
      <c r="D115" s="43" t="s">
        <v>232</v>
      </c>
      <c r="E115" s="24">
        <f>HEX2DEC(D115)</f>
        <v>3811208</v>
      </c>
      <c r="F115" s="40">
        <f t="shared" ref="F115:F120" si="22">E115*8*30/1000/1000</f>
        <v>914.68992000000003</v>
      </c>
      <c r="G115" s="24">
        <v>18382848</v>
      </c>
      <c r="H115" s="27">
        <f>表9_151617182429303132333435404142618551221291761835256575859606162636465[[#This Row],[Core Cycle'#/Frame]]*30/1000/1000</f>
        <v>551.48543999999993</v>
      </c>
      <c r="I115" s="24"/>
    </row>
    <row r="116" spans="1:9" x14ac:dyDescent="0.15">
      <c r="B116" t="s">
        <v>9</v>
      </c>
      <c r="C116" s="24">
        <v>12</v>
      </c>
      <c r="D116" s="24" t="s">
        <v>233</v>
      </c>
      <c r="E116" s="24">
        <f>HEX2DEC(D116)</f>
        <v>1998204</v>
      </c>
      <c r="F116" s="40">
        <f t="shared" si="22"/>
        <v>479.56896</v>
      </c>
      <c r="G116" s="24">
        <v>13565952</v>
      </c>
      <c r="H116" s="27">
        <f>表9_151617182429303132333435404142618551221291761835256575859606162636465[[#This Row],[Core Cycle'#/Frame]]*30/1000/1000</f>
        <v>406.97856000000002</v>
      </c>
      <c r="I116" s="24"/>
    </row>
    <row r="117" spans="1:9" x14ac:dyDescent="0.15">
      <c r="B117" t="s">
        <v>10</v>
      </c>
      <c r="C117" s="24">
        <v>13</v>
      </c>
      <c r="D117" s="24" t="s">
        <v>234</v>
      </c>
      <c r="E117" s="24">
        <f t="shared" ref="E117:E118" si="23">HEX2DEC(D117)</f>
        <v>229292</v>
      </c>
      <c r="F117" s="40">
        <f t="shared" si="22"/>
        <v>55.030080000000005</v>
      </c>
      <c r="G117" s="24">
        <v>13729792</v>
      </c>
      <c r="H117" s="27">
        <f>表9_151617182429303132333435404142618551221291761835256575859606162636465[[#This Row],[Core Cycle'#/Frame]]*30/1000/1000</f>
        <v>411.89375999999999</v>
      </c>
      <c r="I117" s="24"/>
    </row>
    <row r="118" spans="1:9" x14ac:dyDescent="0.15">
      <c r="B118" t="s">
        <v>9</v>
      </c>
      <c r="C118" s="24">
        <v>12</v>
      </c>
      <c r="D118" s="24" t="s">
        <v>235</v>
      </c>
      <c r="E118" s="24">
        <f t="shared" si="23"/>
        <v>1945264</v>
      </c>
      <c r="F118" s="40">
        <f t="shared" si="22"/>
        <v>466.86336</v>
      </c>
      <c r="G118" s="24">
        <v>13598720</v>
      </c>
      <c r="H118" s="27">
        <f>表9_151617182429303132333435404142618551221291761835256575859606162636465[[#This Row],[Core Cycle'#/Frame]]*30/1000/1000</f>
        <v>407.96159999999998</v>
      </c>
      <c r="I118" s="24"/>
    </row>
    <row r="119" spans="1:9" x14ac:dyDescent="0.15">
      <c r="B119" t="s">
        <v>10</v>
      </c>
      <c r="C119" s="24">
        <v>13</v>
      </c>
      <c r="D119" s="44" t="s">
        <v>236</v>
      </c>
      <c r="E119" s="24">
        <f>HEX2DEC(D119)</f>
        <v>200215</v>
      </c>
      <c r="F119" s="40">
        <f t="shared" si="22"/>
        <v>48.051600000000001</v>
      </c>
      <c r="G119" s="24">
        <v>13697024</v>
      </c>
      <c r="H119" s="27">
        <f>表9_151617182429303132333435404142618551221291761835256575859606162636465[[#This Row],[Core Cycle'#/Frame]]*30/1000/1000</f>
        <v>410.91071999999997</v>
      </c>
      <c r="I119" s="24"/>
    </row>
    <row r="120" spans="1:9" x14ac:dyDescent="0.15">
      <c r="B120" t="s">
        <v>91</v>
      </c>
      <c r="C120" s="24">
        <v>12</v>
      </c>
      <c r="D120" s="27" t="s">
        <v>237</v>
      </c>
      <c r="E120" s="24">
        <f>HEX2DEC(D120)</f>
        <v>1962824</v>
      </c>
      <c r="F120" s="40">
        <f t="shared" si="22"/>
        <v>471.07776000000001</v>
      </c>
      <c r="G120" s="24">
        <v>13565952</v>
      </c>
      <c r="H120" s="27">
        <f>表9_151617182429303132333435404142618551221291761835256575859606162636465[[#This Row],[Core Cycle'#/Frame]]*30/1000/1000</f>
        <v>406.97856000000002</v>
      </c>
      <c r="I120" s="24"/>
    </row>
    <row r="122" spans="1:9" x14ac:dyDescent="0.15">
      <c r="A122" s="3" t="s">
        <v>178</v>
      </c>
      <c r="B122" s="4"/>
      <c r="C122" s="26"/>
      <c r="D122" s="29"/>
      <c r="E122" s="29"/>
      <c r="F122" s="29"/>
      <c r="G122" s="29"/>
      <c r="H122" s="29"/>
      <c r="I122" s="26"/>
    </row>
    <row r="123" spans="1:9" x14ac:dyDescent="0.15">
      <c r="A123" t="s">
        <v>238</v>
      </c>
      <c r="C123" s="24"/>
      <c r="D123" s="24"/>
      <c r="E123" s="24"/>
      <c r="F123" s="24"/>
      <c r="G123" s="24"/>
      <c r="H123" s="24"/>
      <c r="I123" s="24"/>
    </row>
    <row r="124" spans="1:9" x14ac:dyDescent="0.15">
      <c r="A124" s="1" t="s">
        <v>1</v>
      </c>
      <c r="B124" s="1" t="s">
        <v>2</v>
      </c>
      <c r="C124" s="25" t="s">
        <v>158</v>
      </c>
      <c r="D124" s="25" t="s">
        <v>287</v>
      </c>
      <c r="E124" s="25" t="s">
        <v>262</v>
      </c>
      <c r="F124" s="25" t="s">
        <v>166</v>
      </c>
      <c r="G124" s="25" t="s">
        <v>165</v>
      </c>
      <c r="H124" s="49" t="s">
        <v>264</v>
      </c>
      <c r="I124" s="25" t="s">
        <v>159</v>
      </c>
    </row>
    <row r="125" spans="1:9" x14ac:dyDescent="0.15">
      <c r="A125" t="s">
        <v>3</v>
      </c>
      <c r="B125" t="s">
        <v>0</v>
      </c>
      <c r="C125" s="24">
        <v>10</v>
      </c>
      <c r="D125" s="43" t="s">
        <v>239</v>
      </c>
      <c r="E125" s="24">
        <f>HEX2DEC(D125)</f>
        <v>3689853</v>
      </c>
      <c r="F125" s="40">
        <f t="shared" ref="F125:F130" si="24">E125*8*30/1000/1000</f>
        <v>885.56471999999997</v>
      </c>
      <c r="G125" s="24">
        <v>17661952</v>
      </c>
      <c r="H125" s="27">
        <f>表9_15161718242930313233343540414261855122129176183525657585960616263646566[[#This Row],[Core Cycle'#/Frame]]*30/1000/1000</f>
        <v>529.85856000000001</v>
      </c>
      <c r="I125" s="24"/>
    </row>
    <row r="126" spans="1:9" x14ac:dyDescent="0.15">
      <c r="B126" t="s">
        <v>9</v>
      </c>
      <c r="C126" s="24">
        <v>11</v>
      </c>
      <c r="D126" s="24" t="s">
        <v>240</v>
      </c>
      <c r="E126" s="24">
        <f>HEX2DEC(D126)</f>
        <v>2221996</v>
      </c>
      <c r="F126" s="40">
        <f t="shared" si="24"/>
        <v>533.27904000000001</v>
      </c>
      <c r="G126" s="24">
        <v>13533184</v>
      </c>
      <c r="H126" s="27">
        <f>表9_15161718242930313233343540414261855122129176183525657585960616263646566[[#This Row],[Core Cycle'#/Frame]]*30/1000/1000</f>
        <v>405.99552</v>
      </c>
      <c r="I126" s="24"/>
    </row>
    <row r="127" spans="1:9" x14ac:dyDescent="0.15">
      <c r="B127" t="s">
        <v>10</v>
      </c>
      <c r="C127" s="24">
        <v>12</v>
      </c>
      <c r="D127" s="24" t="s">
        <v>241</v>
      </c>
      <c r="E127" s="24">
        <f t="shared" ref="E127:E128" si="25">HEX2DEC(D127)</f>
        <v>889683</v>
      </c>
      <c r="F127" s="40">
        <f t="shared" si="24"/>
        <v>213.52392</v>
      </c>
      <c r="G127" s="24">
        <v>13697024</v>
      </c>
      <c r="H127" s="27">
        <f>表9_15161718242930313233343540414261855122129176183525657585960616263646566[[#This Row],[Core Cycle'#/Frame]]*30/1000/1000</f>
        <v>410.91071999999997</v>
      </c>
      <c r="I127" s="24"/>
    </row>
    <row r="128" spans="1:9" x14ac:dyDescent="0.15">
      <c r="B128" t="s">
        <v>9</v>
      </c>
      <c r="C128" s="24">
        <v>11</v>
      </c>
      <c r="D128" s="24" t="s">
        <v>242</v>
      </c>
      <c r="E128" s="24">
        <f t="shared" si="25"/>
        <v>2170225</v>
      </c>
      <c r="F128" s="40">
        <f t="shared" si="24"/>
        <v>520.85400000000004</v>
      </c>
      <c r="G128" s="24">
        <v>13598720</v>
      </c>
      <c r="H128" s="27">
        <f>表9_15161718242930313233343540414261855122129176183525657585960616263646566[[#This Row],[Core Cycle'#/Frame]]*30/1000/1000</f>
        <v>407.96159999999998</v>
      </c>
      <c r="I128" s="24"/>
    </row>
    <row r="129" spans="1:9" x14ac:dyDescent="0.15">
      <c r="B129" t="s">
        <v>10</v>
      </c>
      <c r="C129" s="24">
        <v>12</v>
      </c>
      <c r="D129" s="44" t="s">
        <v>243</v>
      </c>
      <c r="E129" s="24">
        <f>HEX2DEC(D129)</f>
        <v>795713</v>
      </c>
      <c r="F129" s="40">
        <f t="shared" si="24"/>
        <v>190.97111999999998</v>
      </c>
      <c r="G129" s="24">
        <v>13631488</v>
      </c>
      <c r="H129" s="27">
        <f>表9_15161718242930313233343540414261855122129176183525657585960616263646566[[#This Row],[Core Cycle'#/Frame]]*30/1000/1000</f>
        <v>408.94463999999999</v>
      </c>
      <c r="I129" s="24"/>
    </row>
    <row r="130" spans="1:9" x14ac:dyDescent="0.15">
      <c r="B130" t="s">
        <v>91</v>
      </c>
      <c r="C130" s="24">
        <v>11</v>
      </c>
      <c r="D130" s="27">
        <v>216602</v>
      </c>
      <c r="E130" s="24">
        <f>HEX2DEC(D130)</f>
        <v>2188802</v>
      </c>
      <c r="F130" s="40">
        <f t="shared" si="24"/>
        <v>525.31247999999994</v>
      </c>
      <c r="G130" s="24">
        <v>13533184</v>
      </c>
      <c r="H130" s="27">
        <f>表9_15161718242930313233343540414261855122129176183525657585960616263646566[[#This Row],[Core Cycle'#/Frame]]*30/1000/1000</f>
        <v>405.99552</v>
      </c>
      <c r="I130" s="24"/>
    </row>
    <row r="132" spans="1:9" x14ac:dyDescent="0.15">
      <c r="A132" s="3" t="s">
        <v>178</v>
      </c>
      <c r="B132" s="4"/>
      <c r="C132" s="26"/>
      <c r="D132" s="29"/>
      <c r="E132" s="29"/>
      <c r="F132" s="29"/>
      <c r="G132" s="29"/>
      <c r="H132" s="29"/>
      <c r="I132" s="26"/>
    </row>
    <row r="133" spans="1:9" x14ac:dyDescent="0.15">
      <c r="A133" t="s">
        <v>244</v>
      </c>
      <c r="C133" s="24"/>
      <c r="D133" s="24"/>
      <c r="E133" s="24"/>
      <c r="F133" s="24"/>
      <c r="G133" s="24"/>
      <c r="H133" s="24"/>
      <c r="I133" s="24"/>
    </row>
    <row r="134" spans="1:9" x14ac:dyDescent="0.15">
      <c r="A134" s="1" t="s">
        <v>1</v>
      </c>
      <c r="B134" s="1" t="s">
        <v>2</v>
      </c>
      <c r="C134" s="25" t="s">
        <v>158</v>
      </c>
      <c r="D134" s="25" t="s">
        <v>287</v>
      </c>
      <c r="E134" s="25" t="s">
        <v>262</v>
      </c>
      <c r="F134" s="25" t="s">
        <v>166</v>
      </c>
      <c r="G134" s="25" t="s">
        <v>165</v>
      </c>
      <c r="H134" s="49" t="s">
        <v>264</v>
      </c>
      <c r="I134" s="25" t="s">
        <v>159</v>
      </c>
    </row>
    <row r="135" spans="1:9" x14ac:dyDescent="0.15">
      <c r="A135" t="s">
        <v>3</v>
      </c>
      <c r="B135" t="s">
        <v>0</v>
      </c>
      <c r="C135" s="24">
        <v>9</v>
      </c>
      <c r="D135" s="43" t="s">
        <v>245</v>
      </c>
      <c r="E135" s="24">
        <f>HEX2DEC(D135)</f>
        <v>4189257</v>
      </c>
      <c r="F135" s="40">
        <f>E135*8*30/1000/1000</f>
        <v>1005.42168</v>
      </c>
      <c r="G135" s="24">
        <v>19628032</v>
      </c>
      <c r="H135" s="27">
        <f>表9_1516171824293031323334354041426185512212917618352565758596061626364656667[[#This Row],[Core Cycle'#/Frame]]*30/1000/1000</f>
        <v>588.84096</v>
      </c>
      <c r="I135" s="24"/>
    </row>
    <row r="136" spans="1:9" x14ac:dyDescent="0.15">
      <c r="B136" t="s">
        <v>9</v>
      </c>
      <c r="C136" s="24">
        <v>10</v>
      </c>
      <c r="D136" s="24" t="s">
        <v>246</v>
      </c>
      <c r="E136" s="24">
        <f>HEX2DEC(D136)</f>
        <v>3813154</v>
      </c>
      <c r="F136" s="40">
        <f t="shared" ref="F136:F139" si="26">E136*8*30/1000/1000</f>
        <v>915.15695999999991</v>
      </c>
      <c r="G136" s="24">
        <v>18382848</v>
      </c>
      <c r="H136" s="27">
        <f>表9_1516171824293031323334354041426185512212917618352565758596061626364656667[[#This Row],[Core Cycle'#/Frame]]*30/1000/1000</f>
        <v>551.48543999999993</v>
      </c>
      <c r="I136" s="24"/>
    </row>
    <row r="137" spans="1:9" x14ac:dyDescent="0.15">
      <c r="B137" t="s">
        <v>10</v>
      </c>
      <c r="C137" s="24">
        <v>11</v>
      </c>
      <c r="D137" s="24" t="s">
        <v>247</v>
      </c>
      <c r="E137" s="24">
        <f t="shared" ref="E137:E138" si="27">HEX2DEC(D137)</f>
        <v>899709</v>
      </c>
      <c r="F137" s="40">
        <f t="shared" si="26"/>
        <v>215.93016</v>
      </c>
      <c r="G137" s="24">
        <v>13697024</v>
      </c>
      <c r="H137" s="27">
        <f>表9_1516171824293031323334354041426185512212917618352565758596061626364656667[[#This Row],[Core Cycle'#/Frame]]*30/1000/1000</f>
        <v>410.91071999999997</v>
      </c>
      <c r="I137" s="24"/>
    </row>
    <row r="138" spans="1:9" x14ac:dyDescent="0.15">
      <c r="B138" t="s">
        <v>9</v>
      </c>
      <c r="C138" s="24">
        <v>10</v>
      </c>
      <c r="D138" s="24" t="s">
        <v>248</v>
      </c>
      <c r="E138" s="24">
        <f t="shared" si="27"/>
        <v>3800414</v>
      </c>
      <c r="F138" s="40">
        <f t="shared" si="26"/>
        <v>912.09935999999993</v>
      </c>
      <c r="G138" s="24">
        <v>18317312</v>
      </c>
      <c r="H138" s="27">
        <f>表9_1516171824293031323334354041426185512212917618352565758596061626364656667[[#This Row],[Core Cycle'#/Frame]]*30/1000/1000</f>
        <v>549.51936000000001</v>
      </c>
      <c r="I138" s="24"/>
    </row>
    <row r="139" spans="1:9" x14ac:dyDescent="0.15">
      <c r="B139" t="s">
        <v>10</v>
      </c>
      <c r="C139" s="24">
        <v>11</v>
      </c>
      <c r="D139" s="44" t="s">
        <v>249</v>
      </c>
      <c r="E139" s="24">
        <f>HEX2DEC(D139)</f>
        <v>837851</v>
      </c>
      <c r="F139" s="40">
        <f t="shared" si="26"/>
        <v>201.08423999999999</v>
      </c>
      <c r="G139" s="24">
        <v>13664256</v>
      </c>
      <c r="H139" s="27">
        <f>表9_1516171824293031323334354041426185512212917618352565758596061626364656667[[#This Row],[Core Cycle'#/Frame]]*30/1000/1000</f>
        <v>409.92768000000001</v>
      </c>
      <c r="I139" s="24"/>
    </row>
    <row r="141" spans="1:9" x14ac:dyDescent="0.15">
      <c r="A141" s="3" t="s">
        <v>178</v>
      </c>
      <c r="B141" s="4"/>
      <c r="C141" s="26"/>
      <c r="D141" s="29"/>
      <c r="E141" s="29"/>
      <c r="F141" s="29"/>
      <c r="G141" s="29"/>
      <c r="H141" s="29"/>
      <c r="I141" s="26"/>
    </row>
    <row r="142" spans="1:9" x14ac:dyDescent="0.15">
      <c r="A142" t="s">
        <v>250</v>
      </c>
      <c r="C142" s="24"/>
      <c r="D142" s="24"/>
      <c r="E142" s="24"/>
      <c r="F142" s="24"/>
      <c r="G142" s="24"/>
      <c r="H142" s="24"/>
      <c r="I142" s="24"/>
    </row>
    <row r="143" spans="1:9" x14ac:dyDescent="0.15">
      <c r="A143" s="1" t="s">
        <v>1</v>
      </c>
      <c r="B143" s="1" t="s">
        <v>2</v>
      </c>
      <c r="C143" s="25" t="s">
        <v>158</v>
      </c>
      <c r="D143" s="25" t="s">
        <v>287</v>
      </c>
      <c r="E143" s="25" t="s">
        <v>262</v>
      </c>
      <c r="F143" s="25" t="s">
        <v>166</v>
      </c>
      <c r="G143" s="25" t="s">
        <v>165</v>
      </c>
      <c r="H143" s="49" t="s">
        <v>264</v>
      </c>
      <c r="I143" s="25" t="s">
        <v>159</v>
      </c>
    </row>
    <row r="144" spans="1:9" x14ac:dyDescent="0.15">
      <c r="A144" t="s">
        <v>3</v>
      </c>
      <c r="B144" t="s">
        <v>0</v>
      </c>
      <c r="C144" s="24">
        <v>8</v>
      </c>
      <c r="D144" s="43" t="s">
        <v>251</v>
      </c>
      <c r="E144" s="24">
        <f>HEX2DEC(D144)</f>
        <v>4182128</v>
      </c>
      <c r="F144" s="40">
        <f t="shared" ref="F144:F148" si="28">E144*8*30/1000/1000</f>
        <v>1003.7107199999999</v>
      </c>
      <c r="G144" s="24">
        <v>19693568</v>
      </c>
      <c r="H144" s="27">
        <f>表9_151617182429303132333435404142618551221291761835256575859606162636465666768[[#This Row],[Core Cycle'#/Frame]]*30/1000/1000</f>
        <v>590.80704000000003</v>
      </c>
      <c r="I144" s="24"/>
    </row>
    <row r="145" spans="1:9" x14ac:dyDescent="0.15">
      <c r="B145" t="s">
        <v>9</v>
      </c>
      <c r="C145" s="24">
        <v>9</v>
      </c>
      <c r="D145" s="44" t="s">
        <v>252</v>
      </c>
      <c r="E145" s="24">
        <f>HEX2DEC(D145)</f>
        <v>3612247</v>
      </c>
      <c r="F145" s="40">
        <f t="shared" si="28"/>
        <v>866.93928000000005</v>
      </c>
      <c r="G145" s="24">
        <v>17235968</v>
      </c>
      <c r="H145" s="27">
        <f>表9_151617182429303132333435404142618551221291761835256575859606162636465666768[[#This Row],[Core Cycle'#/Frame]]*30/1000/1000</f>
        <v>517.07903999999996</v>
      </c>
      <c r="I145" s="24"/>
    </row>
    <row r="146" spans="1:9" x14ac:dyDescent="0.15">
      <c r="B146" t="s">
        <v>10</v>
      </c>
      <c r="C146" s="24">
        <v>10</v>
      </c>
      <c r="D146" s="44" t="s">
        <v>253</v>
      </c>
      <c r="E146" s="24">
        <f t="shared" ref="E146:E147" si="29">HEX2DEC(D146)</f>
        <v>2287193</v>
      </c>
      <c r="F146" s="40">
        <f t="shared" si="28"/>
        <v>548.92631999999992</v>
      </c>
      <c r="G146" s="24">
        <v>14647296</v>
      </c>
      <c r="H146" s="27">
        <f>表9_151617182429303132333435404142618551221291761835256575859606162636465666768[[#This Row],[Core Cycle'#/Frame]]*30/1000/1000</f>
        <v>439.41888</v>
      </c>
      <c r="I146" s="24"/>
    </row>
    <row r="147" spans="1:9" x14ac:dyDescent="0.15">
      <c r="B147" t="s">
        <v>9</v>
      </c>
      <c r="C147" s="24">
        <v>9</v>
      </c>
      <c r="D147" s="44" t="s">
        <v>254</v>
      </c>
      <c r="E147" s="24">
        <f t="shared" si="29"/>
        <v>3598388</v>
      </c>
      <c r="F147" s="40">
        <f t="shared" si="28"/>
        <v>863.61311999999998</v>
      </c>
      <c r="G147" s="24">
        <v>17170432</v>
      </c>
      <c r="H147" s="27">
        <f>表9_151617182429303132333435404142618551221291761835256575859606162636465666768[[#This Row],[Core Cycle'#/Frame]]*30/1000/1000</f>
        <v>515.11296000000004</v>
      </c>
      <c r="I147" s="24"/>
    </row>
    <row r="148" spans="1:9" x14ac:dyDescent="0.15">
      <c r="B148" t="s">
        <v>10</v>
      </c>
      <c r="C148" s="24">
        <v>10</v>
      </c>
      <c r="D148" s="44" t="s">
        <v>255</v>
      </c>
      <c r="E148" s="24">
        <f>HEX2DEC(D148)</f>
        <v>2274426</v>
      </c>
      <c r="F148" s="40">
        <f t="shared" si="28"/>
        <v>545.86224000000004</v>
      </c>
      <c r="G148" s="24">
        <v>14680064</v>
      </c>
      <c r="H148" s="27">
        <f>表9_151617182429303132333435404142618551221291761835256575859606162636465666768[[#This Row],[Core Cycle'#/Frame]]*30/1000/1000</f>
        <v>440.40191999999996</v>
      </c>
      <c r="I148" s="24"/>
    </row>
    <row r="153" spans="1:9" ht="20.25" x14ac:dyDescent="0.25">
      <c r="A153" s="99" t="s">
        <v>256</v>
      </c>
      <c r="B153" s="100"/>
      <c r="C153" s="100"/>
      <c r="D153" s="100"/>
      <c r="E153" s="100"/>
      <c r="F153" s="100"/>
      <c r="G153" s="100"/>
      <c r="H153" s="100"/>
      <c r="I153" s="100"/>
    </row>
    <row r="154" spans="1:9" x14ac:dyDescent="0.15">
      <c r="A154" s="3" t="s">
        <v>178</v>
      </c>
      <c r="B154" s="4"/>
      <c r="C154" s="26"/>
      <c r="D154" s="29"/>
      <c r="E154" s="29"/>
      <c r="F154" s="29"/>
      <c r="G154" s="29"/>
      <c r="H154" s="29"/>
      <c r="I154" s="26"/>
    </row>
    <row r="155" spans="1:9" x14ac:dyDescent="0.15">
      <c r="A155" t="s">
        <v>257</v>
      </c>
      <c r="C155" s="24"/>
      <c r="D155" s="24"/>
      <c r="E155" s="24"/>
      <c r="F155" s="24"/>
      <c r="G155" s="24"/>
      <c r="H155" s="24"/>
      <c r="I155" s="24"/>
    </row>
    <row r="156" spans="1:9" x14ac:dyDescent="0.15">
      <c r="A156" s="1" t="s">
        <v>1</v>
      </c>
      <c r="B156" s="1" t="s">
        <v>2</v>
      </c>
      <c r="C156" s="25" t="s">
        <v>158</v>
      </c>
      <c r="D156" s="25" t="s">
        <v>287</v>
      </c>
      <c r="E156" s="25" t="s">
        <v>262</v>
      </c>
      <c r="F156" s="25" t="s">
        <v>289</v>
      </c>
      <c r="G156" s="25" t="s">
        <v>165</v>
      </c>
      <c r="H156" s="49" t="s">
        <v>264</v>
      </c>
      <c r="I156" s="25" t="s">
        <v>159</v>
      </c>
    </row>
    <row r="157" spans="1:9" x14ac:dyDescent="0.15">
      <c r="B157" t="s">
        <v>258</v>
      </c>
      <c r="C157" s="24">
        <v>8</v>
      </c>
      <c r="D157" s="43" t="s">
        <v>251</v>
      </c>
      <c r="E157" s="45">
        <f t="shared" ref="E157:E171" si="30">HEX2DEC(D157)</f>
        <v>4182128</v>
      </c>
      <c r="F157" s="40">
        <f>E157*8*30/1000/1000</f>
        <v>1003.7107199999999</v>
      </c>
      <c r="G157" s="24">
        <v>19693568</v>
      </c>
      <c r="H157" s="27">
        <f>表9_15161718242930313233343540414261855122129176183525657585960616263646566676869[[#This Row],[Core Cycle'#/Frame]]*30/1000/1000</f>
        <v>590.80704000000003</v>
      </c>
      <c r="I157" s="24"/>
    </row>
    <row r="158" spans="1:9" x14ac:dyDescent="0.15">
      <c r="B158" t="s">
        <v>258</v>
      </c>
      <c r="C158" s="24">
        <v>9</v>
      </c>
      <c r="D158" s="43" t="s">
        <v>245</v>
      </c>
      <c r="E158" s="45">
        <f t="shared" si="30"/>
        <v>4189257</v>
      </c>
      <c r="F158" s="40">
        <f t="shared" ref="F158:F171" si="31">E158*8*30/1000/1000</f>
        <v>1005.42168</v>
      </c>
      <c r="G158" s="24">
        <v>19628032</v>
      </c>
      <c r="H158" s="27">
        <f>表9_15161718242930313233343540414261855122129176183525657585960616263646566676869[[#This Row],[Core Cycle'#/Frame]]*30/1000/1000</f>
        <v>588.84096</v>
      </c>
      <c r="I158" s="24"/>
    </row>
    <row r="159" spans="1:9" x14ac:dyDescent="0.15">
      <c r="B159" t="s">
        <v>258</v>
      </c>
      <c r="C159" s="24">
        <v>10</v>
      </c>
      <c r="D159" s="43" t="s">
        <v>239</v>
      </c>
      <c r="E159" s="24">
        <f t="shared" si="30"/>
        <v>3689853</v>
      </c>
      <c r="F159" s="40">
        <f t="shared" si="31"/>
        <v>885.56471999999997</v>
      </c>
      <c r="G159" s="24">
        <v>17661952</v>
      </c>
      <c r="H159" s="27">
        <f>表9_15161718242930313233343540414261855122129176183525657585960616263646566676869[[#This Row],[Core Cycle'#/Frame]]*30/1000/1000</f>
        <v>529.85856000000001</v>
      </c>
      <c r="I159" s="24"/>
    </row>
    <row r="160" spans="1:9" x14ac:dyDescent="0.15">
      <c r="B160" t="s">
        <v>258</v>
      </c>
      <c r="C160" s="24">
        <v>11</v>
      </c>
      <c r="D160" s="43" t="s">
        <v>232</v>
      </c>
      <c r="E160" s="24">
        <f t="shared" si="30"/>
        <v>3811208</v>
      </c>
      <c r="F160" s="40">
        <f t="shared" si="31"/>
        <v>914.68992000000003</v>
      </c>
      <c r="G160" s="24">
        <v>18382848</v>
      </c>
      <c r="H160" s="27">
        <f>表9_15161718242930313233343540414261855122129176183525657585960616263646566676869[[#This Row],[Core Cycle'#/Frame]]*30/1000/1000</f>
        <v>551.48543999999993</v>
      </c>
      <c r="I160" s="24"/>
    </row>
    <row r="161" spans="1:9" x14ac:dyDescent="0.15">
      <c r="B161" t="s">
        <v>258</v>
      </c>
      <c r="C161" s="24">
        <v>12</v>
      </c>
      <c r="D161" s="43" t="s">
        <v>227</v>
      </c>
      <c r="E161" s="24">
        <f t="shared" si="30"/>
        <v>2394341</v>
      </c>
      <c r="F161" s="40">
        <f t="shared" si="31"/>
        <v>574.64184</v>
      </c>
      <c r="G161" s="24">
        <v>12779520</v>
      </c>
      <c r="H161" s="27">
        <f>表9_15161718242930313233343540414261855122129176183525657585960616263646566676869[[#This Row],[Core Cycle'#/Frame]]*30/1000/1000</f>
        <v>383.38559999999995</v>
      </c>
      <c r="I161" s="24"/>
    </row>
    <row r="162" spans="1:9" x14ac:dyDescent="0.15">
      <c r="B162" t="s">
        <v>258</v>
      </c>
      <c r="C162" s="24">
        <v>13</v>
      </c>
      <c r="D162" s="43" t="s">
        <v>224</v>
      </c>
      <c r="E162" s="45">
        <f t="shared" si="30"/>
        <v>2220325</v>
      </c>
      <c r="F162" s="40">
        <f t="shared" si="31"/>
        <v>532.87800000000004</v>
      </c>
      <c r="G162" s="24">
        <v>12910592</v>
      </c>
      <c r="H162" s="27">
        <f>表9_15161718242930313233343540414261855122129176183525657585960616263646566676869[[#This Row],[Core Cycle'#/Frame]]*30/1000/1000</f>
        <v>387.31776000000002</v>
      </c>
      <c r="I162" s="24"/>
    </row>
    <row r="163" spans="1:9" x14ac:dyDescent="0.15">
      <c r="B163" t="s">
        <v>258</v>
      </c>
      <c r="C163" s="24">
        <v>14</v>
      </c>
      <c r="D163" s="24" t="s">
        <v>213</v>
      </c>
      <c r="E163" s="45">
        <f t="shared" si="30"/>
        <v>1985773</v>
      </c>
      <c r="F163" s="40">
        <f t="shared" si="31"/>
        <v>476.58552000000003</v>
      </c>
      <c r="G163" s="24">
        <v>12976128</v>
      </c>
      <c r="H163" s="27">
        <f>表9_15161718242930313233343540414261855122129176183525657585960616263646566676869[[#This Row],[Core Cycle'#/Frame]]*30/1000/1000</f>
        <v>389.28384</v>
      </c>
      <c r="I163" s="24"/>
    </row>
    <row r="164" spans="1:9" x14ac:dyDescent="0.15">
      <c r="B164" t="s">
        <v>258</v>
      </c>
      <c r="C164" s="24">
        <v>15</v>
      </c>
      <c r="D164" s="24" t="s">
        <v>208</v>
      </c>
      <c r="E164" s="45">
        <f t="shared" si="30"/>
        <v>1875636</v>
      </c>
      <c r="F164" s="40">
        <f t="shared" si="31"/>
        <v>450.15264000000002</v>
      </c>
      <c r="G164" s="24">
        <v>13008896</v>
      </c>
      <c r="H164" s="27">
        <f>表9_15161718242930313233343540414261855122129176183525657585960616263646566676869[[#This Row],[Core Cycle'#/Frame]]*30/1000/1000</f>
        <v>390.26688000000001</v>
      </c>
      <c r="I164" s="24"/>
    </row>
    <row r="165" spans="1:9" x14ac:dyDescent="0.15">
      <c r="B165" t="s">
        <v>258</v>
      </c>
      <c r="C165" s="24">
        <v>16</v>
      </c>
      <c r="D165" s="24" t="s">
        <v>201</v>
      </c>
      <c r="E165" s="45">
        <f t="shared" si="30"/>
        <v>1757092</v>
      </c>
      <c r="F165" s="40">
        <f t="shared" si="31"/>
        <v>421.70208000000002</v>
      </c>
      <c r="G165" s="24">
        <v>13008896</v>
      </c>
      <c r="H165" s="27">
        <f>表9_15161718242930313233343540414261855122129176183525657585960616263646566676869[[#This Row],[Core Cycle'#/Frame]]*30/1000/1000</f>
        <v>390.26688000000001</v>
      </c>
      <c r="I165" s="24"/>
    </row>
    <row r="166" spans="1:9" x14ac:dyDescent="0.15">
      <c r="B166" t="s">
        <v>258</v>
      </c>
      <c r="C166" s="24">
        <v>17</v>
      </c>
      <c r="D166" s="24" t="s">
        <v>194</v>
      </c>
      <c r="E166" s="45">
        <f t="shared" si="30"/>
        <v>1422554</v>
      </c>
      <c r="F166" s="40">
        <f t="shared" si="31"/>
        <v>341.41296</v>
      </c>
      <c r="G166" s="24">
        <v>13008896</v>
      </c>
      <c r="H166" s="27">
        <f>表9_15161718242930313233343540414261855122129176183525657585960616263646566676869[[#This Row],[Core Cycle'#/Frame]]*30/1000/1000</f>
        <v>390.26688000000001</v>
      </c>
      <c r="I166" s="24"/>
    </row>
    <row r="167" spans="1:9" x14ac:dyDescent="0.15">
      <c r="B167" t="s">
        <v>258</v>
      </c>
      <c r="C167" s="24">
        <v>19</v>
      </c>
      <c r="D167" s="24" t="s">
        <v>187</v>
      </c>
      <c r="E167" s="45">
        <f t="shared" si="30"/>
        <v>968469</v>
      </c>
      <c r="F167" s="40">
        <f t="shared" si="31"/>
        <v>232.43256</v>
      </c>
      <c r="G167" s="24">
        <v>12976128</v>
      </c>
      <c r="H167" s="27">
        <f>表9_15161718242930313233343540414261855122129176183525657585960616263646566676869[[#This Row],[Core Cycle'#/Frame]]*30/1000/1000</f>
        <v>389.28384</v>
      </c>
      <c r="I167" s="24"/>
    </row>
    <row r="168" spans="1:9" x14ac:dyDescent="0.15">
      <c r="B168" t="s">
        <v>258</v>
      </c>
      <c r="C168" s="24">
        <v>21</v>
      </c>
      <c r="D168" s="24" t="s">
        <v>180</v>
      </c>
      <c r="E168" s="45">
        <f t="shared" si="30"/>
        <v>589689</v>
      </c>
      <c r="F168" s="40">
        <f t="shared" si="31"/>
        <v>141.52535999999998</v>
      </c>
      <c r="G168" s="24">
        <v>12877824</v>
      </c>
      <c r="H168" s="27">
        <f>表9_15161718242930313233343540414261855122129176183525657585960616263646566676869[[#This Row],[Core Cycle'#/Frame]]*30/1000/1000</f>
        <v>386.33471999999995</v>
      </c>
      <c r="I168" s="24"/>
    </row>
    <row r="169" spans="1:9" x14ac:dyDescent="0.15">
      <c r="B169" t="s">
        <v>258</v>
      </c>
      <c r="C169" s="24">
        <v>23</v>
      </c>
      <c r="D169" s="24">
        <v>59976</v>
      </c>
      <c r="E169" s="45">
        <f t="shared" si="30"/>
        <v>366966</v>
      </c>
      <c r="F169" s="40">
        <f t="shared" si="31"/>
        <v>88.071839999999995</v>
      </c>
      <c r="G169" s="24">
        <v>12779520</v>
      </c>
      <c r="H169" s="27">
        <f>表9_15161718242930313233343540414261855122129176183525657585960616263646566676869[[#This Row],[Core Cycle'#/Frame]]*30/1000/1000</f>
        <v>383.38559999999995</v>
      </c>
      <c r="I169" s="24"/>
    </row>
    <row r="170" spans="1:9" x14ac:dyDescent="0.15">
      <c r="B170" t="s">
        <v>258</v>
      </c>
      <c r="C170" s="24">
        <v>25</v>
      </c>
      <c r="D170" s="24">
        <v>41772</v>
      </c>
      <c r="E170" s="24">
        <f t="shared" si="30"/>
        <v>268146</v>
      </c>
      <c r="F170" s="40">
        <f t="shared" si="31"/>
        <v>64.355040000000002</v>
      </c>
      <c r="G170" s="24">
        <v>12582912</v>
      </c>
      <c r="H170" s="27">
        <f>表9_15161718242930313233343540414261855122129176183525657585960616263646566676869[[#This Row],[Core Cycle'#/Frame]]*30/1000/1000</f>
        <v>377.48735999999997</v>
      </c>
      <c r="I170" s="24"/>
    </row>
    <row r="171" spans="1:9" x14ac:dyDescent="0.15">
      <c r="A171" t="s">
        <v>3</v>
      </c>
      <c r="B171" t="s">
        <v>258</v>
      </c>
      <c r="C171" s="24">
        <v>32</v>
      </c>
      <c r="D171" s="43" t="s">
        <v>168</v>
      </c>
      <c r="E171" s="24">
        <f t="shared" si="30"/>
        <v>122934</v>
      </c>
      <c r="F171" s="40">
        <f t="shared" si="31"/>
        <v>29.504159999999999</v>
      </c>
      <c r="G171" s="24">
        <v>12386304</v>
      </c>
      <c r="H171" s="27">
        <f>表9_15161718242930313233343540414261855122129176183525657585960616263646566676869[[#This Row],[Core Cycle'#/Frame]]*30/1000/1000</f>
        <v>371.58911999999998</v>
      </c>
      <c r="I171" s="24"/>
    </row>
    <row r="172" spans="1:9" x14ac:dyDescent="0.15">
      <c r="C172" s="24"/>
      <c r="D172" s="27"/>
      <c r="E172" s="45"/>
      <c r="F172" s="40"/>
      <c r="G172" s="24"/>
      <c r="H172" s="27"/>
      <c r="I172" s="24"/>
    </row>
    <row r="173" spans="1:9" x14ac:dyDescent="0.15">
      <c r="C173" s="24"/>
      <c r="D173" s="27"/>
      <c r="E173" s="45"/>
      <c r="F173" s="40"/>
      <c r="G173" s="24"/>
      <c r="H173" s="27"/>
      <c r="I173" s="24"/>
    </row>
    <row r="174" spans="1:9" x14ac:dyDescent="0.15">
      <c r="C174" s="24"/>
      <c r="D174" s="27"/>
      <c r="E174" s="45"/>
      <c r="F174" s="40"/>
      <c r="G174" s="24"/>
      <c r="H174" s="27"/>
      <c r="I174" s="24"/>
    </row>
    <row r="175" spans="1:9" x14ac:dyDescent="0.15">
      <c r="C175" s="24"/>
      <c r="D175" s="27"/>
      <c r="E175" s="45"/>
      <c r="F175" s="40"/>
      <c r="G175" s="24"/>
      <c r="H175" s="27"/>
      <c r="I175" s="24"/>
    </row>
    <row r="176" spans="1:9" x14ac:dyDescent="0.15">
      <c r="C176" s="24"/>
      <c r="D176" s="27"/>
      <c r="E176" s="45"/>
      <c r="F176" s="40"/>
      <c r="G176" s="24"/>
      <c r="H176" s="27"/>
      <c r="I176" s="24"/>
    </row>
    <row r="177" spans="1:9" x14ac:dyDescent="0.15">
      <c r="C177" s="24"/>
      <c r="D177" s="27"/>
      <c r="E177" s="45"/>
      <c r="F177" s="40"/>
      <c r="G177" s="24"/>
      <c r="H177" s="27"/>
      <c r="I177" s="24"/>
    </row>
    <row r="178" spans="1:9" x14ac:dyDescent="0.15">
      <c r="C178" s="24"/>
      <c r="D178" s="27"/>
      <c r="E178" s="45"/>
      <c r="F178" s="40"/>
      <c r="G178" s="24"/>
      <c r="H178" s="27"/>
      <c r="I178" s="24"/>
    </row>
    <row r="179" spans="1:9" x14ac:dyDescent="0.15">
      <c r="C179" s="24"/>
      <c r="D179" s="27"/>
      <c r="E179" s="45"/>
      <c r="F179" s="40"/>
      <c r="G179" s="24"/>
      <c r="H179" s="27"/>
      <c r="I179" s="24"/>
    </row>
    <row r="180" spans="1:9" x14ac:dyDescent="0.15">
      <c r="C180" s="24"/>
      <c r="D180" s="27"/>
      <c r="E180" s="45"/>
      <c r="F180" s="40"/>
      <c r="G180" s="24"/>
      <c r="H180" s="27"/>
      <c r="I180" s="24"/>
    </row>
    <row r="181" spans="1:9" x14ac:dyDescent="0.15">
      <c r="C181" s="24"/>
      <c r="D181" s="27"/>
      <c r="E181" s="45"/>
      <c r="F181" s="40"/>
      <c r="G181" s="24"/>
      <c r="H181" s="27"/>
      <c r="I181" s="24"/>
    </row>
    <row r="182" spans="1:9" x14ac:dyDescent="0.15">
      <c r="C182" s="24"/>
      <c r="D182" s="27"/>
      <c r="E182" s="45"/>
      <c r="F182" s="40"/>
      <c r="G182" s="24"/>
      <c r="H182" s="27"/>
      <c r="I182" s="24"/>
    </row>
    <row r="183" spans="1:9" x14ac:dyDescent="0.15">
      <c r="C183" s="24"/>
      <c r="D183" s="27"/>
      <c r="E183" s="45"/>
      <c r="F183" s="40"/>
      <c r="G183" s="24"/>
      <c r="H183" s="27"/>
      <c r="I183" s="24"/>
    </row>
    <row r="184" spans="1:9" x14ac:dyDescent="0.15">
      <c r="C184" s="24"/>
      <c r="D184" s="27"/>
      <c r="E184" s="45"/>
      <c r="F184" s="40"/>
      <c r="G184" s="24"/>
      <c r="H184" s="27"/>
      <c r="I184" s="24"/>
    </row>
    <row r="185" spans="1:9" x14ac:dyDescent="0.15">
      <c r="C185" s="24"/>
      <c r="D185" s="27"/>
      <c r="E185" s="45"/>
      <c r="F185" s="40"/>
      <c r="G185" s="24"/>
      <c r="H185" s="27"/>
      <c r="I185" s="24"/>
    </row>
    <row r="186" spans="1:9" x14ac:dyDescent="0.15">
      <c r="C186" s="24"/>
      <c r="D186" s="27"/>
      <c r="E186" s="45"/>
      <c r="F186" s="40"/>
      <c r="G186" s="24"/>
      <c r="H186" s="27"/>
      <c r="I186" s="24"/>
    </row>
    <row r="187" spans="1:9" x14ac:dyDescent="0.15">
      <c r="C187" s="24"/>
      <c r="D187" s="27"/>
      <c r="E187" s="45"/>
      <c r="F187" s="40"/>
      <c r="G187" s="24"/>
      <c r="H187" s="27"/>
      <c r="I187" s="24"/>
    </row>
    <row r="189" spans="1:9" x14ac:dyDescent="0.15">
      <c r="A189" s="48" t="s">
        <v>1</v>
      </c>
      <c r="B189" s="48" t="s">
        <v>2</v>
      </c>
      <c r="C189" s="49" t="s">
        <v>158</v>
      </c>
      <c r="D189" s="49" t="s">
        <v>287</v>
      </c>
      <c r="E189" s="49" t="s">
        <v>262</v>
      </c>
      <c r="F189" s="49" t="s">
        <v>166</v>
      </c>
      <c r="G189" s="49" t="s">
        <v>165</v>
      </c>
      <c r="H189" s="49" t="s">
        <v>264</v>
      </c>
      <c r="I189" s="49" t="s">
        <v>159</v>
      </c>
    </row>
    <row r="190" spans="1:9" x14ac:dyDescent="0.15">
      <c r="A190" s="34"/>
      <c r="B190" s="34" t="s">
        <v>259</v>
      </c>
      <c r="C190" s="24">
        <v>9</v>
      </c>
      <c r="D190" s="35" t="s">
        <v>252</v>
      </c>
      <c r="E190" s="46">
        <f t="shared" ref="E190:E204" si="32">HEX2DEC(D190)</f>
        <v>3612247</v>
      </c>
      <c r="F190" s="41">
        <f t="shared" ref="F190:F204" si="33">E190*8*30/1000/1000</f>
        <v>866.93928000000005</v>
      </c>
      <c r="G190" s="35">
        <v>17235968</v>
      </c>
      <c r="H190" s="36">
        <f>表69[[#This Row],[Core Cycle'#/Frame]]*30/1000/1000</f>
        <v>517.07903999999996</v>
      </c>
      <c r="I190" s="35"/>
    </row>
    <row r="191" spans="1:9" x14ac:dyDescent="0.15">
      <c r="A191" s="37"/>
      <c r="B191" s="37" t="s">
        <v>259</v>
      </c>
      <c r="C191" s="24">
        <v>10</v>
      </c>
      <c r="D191" s="38" t="s">
        <v>246</v>
      </c>
      <c r="E191" s="47">
        <f t="shared" si="32"/>
        <v>3813154</v>
      </c>
      <c r="F191" s="42">
        <f t="shared" si="33"/>
        <v>915.15695999999991</v>
      </c>
      <c r="G191" s="38">
        <v>18382848</v>
      </c>
      <c r="H191" s="39">
        <f>表69[[#This Row],[Core Cycle'#/Frame]]*30/1000/1000</f>
        <v>551.48543999999993</v>
      </c>
      <c r="I191" s="38"/>
    </row>
    <row r="192" spans="1:9" x14ac:dyDescent="0.15">
      <c r="A192" s="34"/>
      <c r="B192" s="34" t="s">
        <v>259</v>
      </c>
      <c r="C192" s="24">
        <v>11</v>
      </c>
      <c r="D192" s="35" t="s">
        <v>240</v>
      </c>
      <c r="E192" s="46">
        <f t="shared" si="32"/>
        <v>2221996</v>
      </c>
      <c r="F192" s="41">
        <f t="shared" si="33"/>
        <v>533.27904000000001</v>
      </c>
      <c r="G192" s="35">
        <v>13533184</v>
      </c>
      <c r="H192" s="36">
        <f>表69[[#This Row],[Core Cycle'#/Frame]]*30/1000/1000</f>
        <v>405.99552</v>
      </c>
      <c r="I192" s="35"/>
    </row>
    <row r="193" spans="1:9" x14ac:dyDescent="0.15">
      <c r="A193" s="37"/>
      <c r="B193" s="37" t="s">
        <v>259</v>
      </c>
      <c r="C193" s="24">
        <v>12</v>
      </c>
      <c r="D193" s="38" t="s">
        <v>233</v>
      </c>
      <c r="E193" s="47">
        <f t="shared" si="32"/>
        <v>1998204</v>
      </c>
      <c r="F193" s="42">
        <f t="shared" si="33"/>
        <v>479.56896</v>
      </c>
      <c r="G193" s="38">
        <v>13565952</v>
      </c>
      <c r="H193" s="39">
        <f>表69[[#This Row],[Core Cycle'#/Frame]]*30/1000/1000</f>
        <v>406.97856000000002</v>
      </c>
      <c r="I193" s="38"/>
    </row>
    <row r="194" spans="1:9" x14ac:dyDescent="0.15">
      <c r="A194" s="34"/>
      <c r="B194" s="34" t="s">
        <v>259</v>
      </c>
      <c r="C194" s="24">
        <v>13</v>
      </c>
      <c r="D194" s="35" t="s">
        <v>228</v>
      </c>
      <c r="E194" s="46">
        <f t="shared" si="32"/>
        <v>1796463</v>
      </c>
      <c r="F194" s="41">
        <f t="shared" si="33"/>
        <v>431.15111999999999</v>
      </c>
      <c r="G194" s="35">
        <v>13631488</v>
      </c>
      <c r="H194" s="36">
        <f>表69[[#This Row],[Core Cycle'#/Frame]]*30/1000/1000</f>
        <v>408.94463999999999</v>
      </c>
      <c r="I194" s="35"/>
    </row>
    <row r="195" spans="1:9" x14ac:dyDescent="0.15">
      <c r="A195" s="37"/>
      <c r="B195" s="37" t="s">
        <v>259</v>
      </c>
      <c r="C195" s="24">
        <v>14</v>
      </c>
      <c r="D195" s="38" t="s">
        <v>219</v>
      </c>
      <c r="E195" s="47">
        <f t="shared" si="32"/>
        <v>1714702</v>
      </c>
      <c r="F195" s="42">
        <f t="shared" si="33"/>
        <v>411.52848</v>
      </c>
      <c r="G195" s="38">
        <v>13467648</v>
      </c>
      <c r="H195" s="39">
        <f>表69[[#This Row],[Core Cycle'#/Frame]]*30/1000/1000</f>
        <v>404.02944000000002</v>
      </c>
      <c r="I195" s="38"/>
    </row>
    <row r="196" spans="1:9" x14ac:dyDescent="0.15">
      <c r="A196" s="34"/>
      <c r="B196" s="34" t="s">
        <v>259</v>
      </c>
      <c r="C196" s="24">
        <v>15</v>
      </c>
      <c r="D196" s="35" t="s">
        <v>214</v>
      </c>
      <c r="E196" s="46">
        <f t="shared" si="32"/>
        <v>1623402</v>
      </c>
      <c r="F196" s="41">
        <f t="shared" si="33"/>
        <v>389.61647999999997</v>
      </c>
      <c r="G196" s="35">
        <v>13369344</v>
      </c>
      <c r="H196" s="36">
        <f>表69[[#This Row],[Core Cycle'#/Frame]]*30/1000/1000</f>
        <v>401.08032000000003</v>
      </c>
      <c r="I196" s="35"/>
    </row>
    <row r="197" spans="1:9" x14ac:dyDescent="0.15">
      <c r="A197" s="37"/>
      <c r="B197" s="37" t="s">
        <v>259</v>
      </c>
      <c r="C197" s="24">
        <v>16</v>
      </c>
      <c r="D197" s="38" t="s">
        <v>209</v>
      </c>
      <c r="E197" s="47">
        <f t="shared" si="32"/>
        <v>1092053</v>
      </c>
      <c r="F197" s="42">
        <f t="shared" si="33"/>
        <v>262.09271999999999</v>
      </c>
      <c r="G197" s="38">
        <v>13533184</v>
      </c>
      <c r="H197" s="39">
        <f>表69[[#This Row],[Core Cycle'#/Frame]]*30/1000/1000</f>
        <v>405.99552</v>
      </c>
      <c r="I197" s="38"/>
    </row>
    <row r="198" spans="1:9" x14ac:dyDescent="0.15">
      <c r="A198" s="34"/>
      <c r="B198" s="34" t="s">
        <v>259</v>
      </c>
      <c r="C198" s="24">
        <v>17</v>
      </c>
      <c r="D198" s="35" t="s">
        <v>202</v>
      </c>
      <c r="E198" s="46">
        <f t="shared" si="32"/>
        <v>939132</v>
      </c>
      <c r="F198" s="41">
        <f t="shared" si="33"/>
        <v>225.39167999999998</v>
      </c>
      <c r="G198" s="35">
        <v>13434880</v>
      </c>
      <c r="H198" s="36">
        <f>表69[[#This Row],[Core Cycle'#/Frame]]*30/1000/1000</f>
        <v>403.04640000000001</v>
      </c>
      <c r="I198" s="35"/>
    </row>
    <row r="199" spans="1:9" x14ac:dyDescent="0.15">
      <c r="A199" s="37"/>
      <c r="B199" s="37" t="s">
        <v>259</v>
      </c>
      <c r="C199" s="24">
        <v>18</v>
      </c>
      <c r="D199" s="38" t="s">
        <v>195</v>
      </c>
      <c r="E199" s="47">
        <f t="shared" si="32"/>
        <v>580917</v>
      </c>
      <c r="F199" s="42">
        <f t="shared" si="33"/>
        <v>139.42007999999998</v>
      </c>
      <c r="G199" s="38">
        <v>13565952</v>
      </c>
      <c r="H199" s="39">
        <f>表69[[#This Row],[Core Cycle'#/Frame]]*30/1000/1000</f>
        <v>406.97856000000002</v>
      </c>
      <c r="I199" s="38"/>
    </row>
    <row r="200" spans="1:9" x14ac:dyDescent="0.15">
      <c r="A200" s="34"/>
      <c r="B200" s="34" t="s">
        <v>259</v>
      </c>
      <c r="C200" s="24">
        <v>20</v>
      </c>
      <c r="D200" s="35" t="s">
        <v>188</v>
      </c>
      <c r="E200" s="46">
        <f t="shared" si="32"/>
        <v>232845</v>
      </c>
      <c r="F200" s="41">
        <f t="shared" si="33"/>
        <v>55.882800000000003</v>
      </c>
      <c r="G200" s="35">
        <v>13565952</v>
      </c>
      <c r="H200" s="36">
        <f>表69[[#This Row],[Core Cycle'#/Frame]]*30/1000/1000</f>
        <v>406.97856000000002</v>
      </c>
      <c r="I200" s="35"/>
    </row>
    <row r="201" spans="1:9" x14ac:dyDescent="0.15">
      <c r="A201" s="37"/>
      <c r="B201" s="37" t="s">
        <v>259</v>
      </c>
      <c r="C201" s="24">
        <v>22</v>
      </c>
      <c r="D201" s="38" t="s">
        <v>181</v>
      </c>
      <c r="E201" s="47">
        <f t="shared" si="32"/>
        <v>123863</v>
      </c>
      <c r="F201" s="42">
        <f t="shared" si="33"/>
        <v>29.727119999999999</v>
      </c>
      <c r="G201" s="38">
        <v>13533184</v>
      </c>
      <c r="H201" s="39">
        <f>表69[[#This Row],[Core Cycle'#/Frame]]*30/1000/1000</f>
        <v>405.99552</v>
      </c>
      <c r="I201" s="38"/>
    </row>
    <row r="202" spans="1:9" x14ac:dyDescent="0.15">
      <c r="A202" s="34"/>
      <c r="B202" s="34" t="s">
        <v>259</v>
      </c>
      <c r="C202" s="24">
        <v>24</v>
      </c>
      <c r="D202" s="35" t="s">
        <v>175</v>
      </c>
      <c r="E202" s="46">
        <f t="shared" si="32"/>
        <v>80052</v>
      </c>
      <c r="F202" s="41">
        <f t="shared" si="33"/>
        <v>19.212479999999999</v>
      </c>
      <c r="G202" s="35">
        <v>13434880</v>
      </c>
      <c r="H202" s="36">
        <f>表69[[#This Row],[Core Cycle'#/Frame]]*30/1000/1000</f>
        <v>403.04640000000001</v>
      </c>
      <c r="I202" s="35"/>
    </row>
    <row r="203" spans="1:9" x14ac:dyDescent="0.15">
      <c r="A203" s="37"/>
      <c r="B203" s="37" t="s">
        <v>259</v>
      </c>
      <c r="C203" s="24">
        <v>26</v>
      </c>
      <c r="D203" s="38" t="s">
        <v>160</v>
      </c>
      <c r="E203" s="47">
        <f t="shared" si="32"/>
        <v>60736</v>
      </c>
      <c r="F203" s="42">
        <f t="shared" si="33"/>
        <v>14.576639999999999</v>
      </c>
      <c r="G203" s="38">
        <v>13402112</v>
      </c>
      <c r="H203" s="39">
        <f>表69[[#This Row],[Core Cycle'#/Frame]]*30/1000/1000</f>
        <v>402.06335999999999</v>
      </c>
      <c r="I203" s="38"/>
    </row>
    <row r="204" spans="1:9" x14ac:dyDescent="0.15">
      <c r="A204" s="50"/>
      <c r="B204" s="50" t="s">
        <v>259</v>
      </c>
      <c r="C204" s="24">
        <v>33</v>
      </c>
      <c r="D204" s="51" t="s">
        <v>169</v>
      </c>
      <c r="E204" s="52">
        <f t="shared" si="32"/>
        <v>26537</v>
      </c>
      <c r="F204" s="53">
        <f t="shared" si="33"/>
        <v>6.3688799999999999</v>
      </c>
      <c r="G204" s="51">
        <v>13107200</v>
      </c>
      <c r="H204" s="54">
        <f>表69[[#This Row],[Core Cycle'#/Frame]]*30/1000/1000</f>
        <v>393.21600000000001</v>
      </c>
      <c r="I204" s="51"/>
    </row>
    <row r="225" spans="1:9" x14ac:dyDescent="0.15">
      <c r="A225" s="48" t="s">
        <v>1</v>
      </c>
      <c r="B225" s="48" t="s">
        <v>2</v>
      </c>
      <c r="C225" s="49" t="s">
        <v>158</v>
      </c>
      <c r="D225" s="49" t="s">
        <v>287</v>
      </c>
      <c r="E225" s="49" t="s">
        <v>261</v>
      </c>
      <c r="F225" s="49" t="s">
        <v>166</v>
      </c>
      <c r="G225" s="49" t="s">
        <v>165</v>
      </c>
      <c r="H225" s="49" t="s">
        <v>263</v>
      </c>
      <c r="I225" s="49" t="s">
        <v>159</v>
      </c>
    </row>
    <row r="226" spans="1:9" x14ac:dyDescent="0.15">
      <c r="A226" s="34"/>
      <c r="B226" s="34" t="s">
        <v>260</v>
      </c>
      <c r="C226" s="24">
        <v>9</v>
      </c>
      <c r="D226" s="44" t="s">
        <v>253</v>
      </c>
      <c r="E226" s="46">
        <f>HEX2DEC(表69_71[[#This Row],[Bytes_Count/Frame]])</f>
        <v>2287193</v>
      </c>
      <c r="F226" s="41">
        <f>表69_71[[#This Row],[Hex2Dec]]*8*30/1000/1000</f>
        <v>548.92631999999992</v>
      </c>
      <c r="G226" s="24">
        <v>14647296</v>
      </c>
      <c r="H226" s="36">
        <f>表69_71[[#This Row],[Core Cycle'#/Frame]]*30/1000/1000</f>
        <v>439.41888</v>
      </c>
      <c r="I226" s="35"/>
    </row>
    <row r="227" spans="1:9" x14ac:dyDescent="0.15">
      <c r="A227" s="37"/>
      <c r="B227" s="34" t="s">
        <v>260</v>
      </c>
      <c r="C227" s="24">
        <v>10</v>
      </c>
      <c r="D227" s="24" t="s">
        <v>247</v>
      </c>
      <c r="E227" s="47">
        <f>HEX2DEC(表69_71[[#This Row],[Bytes_Count/Frame]])</f>
        <v>899709</v>
      </c>
      <c r="F227" s="42">
        <f>表69_71[[#This Row],[Hex2Dec]]*8*30/1000/1000</f>
        <v>215.93016</v>
      </c>
      <c r="G227" s="24">
        <v>13697024</v>
      </c>
      <c r="H227" s="39">
        <f>表69_71[[#This Row],[Core Cycle'#/Frame]]*30/1000/1000</f>
        <v>410.91071999999997</v>
      </c>
      <c r="I227" s="38"/>
    </row>
    <row r="228" spans="1:9" x14ac:dyDescent="0.15">
      <c r="A228" s="34"/>
      <c r="B228" s="34" t="s">
        <v>260</v>
      </c>
      <c r="C228" s="24">
        <v>11</v>
      </c>
      <c r="D228" s="24" t="s">
        <v>241</v>
      </c>
      <c r="E228" s="46">
        <f>HEX2DEC(表69_71[[#This Row],[Bytes_Count/Frame]])</f>
        <v>889683</v>
      </c>
      <c r="F228" s="41">
        <f>表69_71[[#This Row],[Hex2Dec]]*8*30/1000/1000</f>
        <v>213.52392</v>
      </c>
      <c r="G228" s="24">
        <v>13697024</v>
      </c>
      <c r="H228" s="36">
        <f>表69_71[[#This Row],[Core Cycle'#/Frame]]*30/1000/1000</f>
        <v>410.91071999999997</v>
      </c>
      <c r="I228" s="35"/>
    </row>
    <row r="229" spans="1:9" x14ac:dyDescent="0.15">
      <c r="A229" s="37"/>
      <c r="B229" s="34" t="s">
        <v>260</v>
      </c>
      <c r="C229" s="24">
        <v>12</v>
      </c>
      <c r="D229" s="24" t="s">
        <v>234</v>
      </c>
      <c r="E229" s="47">
        <f>HEX2DEC(表69_71[[#This Row],[Bytes_Count/Frame]])</f>
        <v>229292</v>
      </c>
      <c r="F229" s="42">
        <f>表69_71[[#This Row],[Hex2Dec]]*8*30/1000/1000</f>
        <v>55.030080000000005</v>
      </c>
      <c r="G229" s="24">
        <v>13729792</v>
      </c>
      <c r="H229" s="39">
        <f>表69_71[[#This Row],[Core Cycle'#/Frame]]*30/1000/1000</f>
        <v>411.89375999999999</v>
      </c>
      <c r="I229" s="38"/>
    </row>
    <row r="230" spans="1:9" x14ac:dyDescent="0.15">
      <c r="A230" s="34"/>
      <c r="B230" s="34" t="s">
        <v>260</v>
      </c>
      <c r="C230" s="24">
        <v>13</v>
      </c>
      <c r="D230" s="24">
        <v>37586</v>
      </c>
      <c r="E230" s="46">
        <f>HEX2DEC(表69_71[[#This Row],[Bytes_Count/Frame]])</f>
        <v>226694</v>
      </c>
      <c r="F230" s="41">
        <f>表69_71[[#This Row],[Hex2Dec]]*8*30/1000/1000</f>
        <v>54.406559999999999</v>
      </c>
      <c r="G230" s="24">
        <v>13762560</v>
      </c>
      <c r="H230" s="36">
        <f>表69_71[[#This Row],[Core Cycle'#/Frame]]*30/1000/1000</f>
        <v>412.8768</v>
      </c>
      <c r="I230" s="35"/>
    </row>
    <row r="231" spans="1:9" x14ac:dyDescent="0.15">
      <c r="A231" s="37"/>
      <c r="B231" s="34" t="s">
        <v>260</v>
      </c>
      <c r="C231" s="24">
        <v>14</v>
      </c>
      <c r="D231" s="24" t="s">
        <v>220</v>
      </c>
      <c r="E231" s="47">
        <f>HEX2DEC(表69_71[[#This Row],[Bytes_Count/Frame]])</f>
        <v>134461</v>
      </c>
      <c r="F231" s="42">
        <f>表69_71[[#This Row],[Hex2Dec]]*8*30/1000/1000</f>
        <v>32.27064</v>
      </c>
      <c r="G231" s="24">
        <v>13828096</v>
      </c>
      <c r="H231" s="39">
        <f>表69_71[[#This Row],[Core Cycle'#/Frame]]*30/1000/1000</f>
        <v>414.84287999999998</v>
      </c>
      <c r="I231" s="38"/>
    </row>
    <row r="232" spans="1:9" x14ac:dyDescent="0.15">
      <c r="A232" s="34"/>
      <c r="B232" s="34" t="s">
        <v>260</v>
      </c>
      <c r="C232" s="24">
        <v>15</v>
      </c>
      <c r="D232" s="24" t="s">
        <v>215</v>
      </c>
      <c r="E232" s="46">
        <f>HEX2DEC(表69_71[[#This Row],[Bytes_Count/Frame]])</f>
        <v>105380</v>
      </c>
      <c r="F232" s="41">
        <f>表69_71[[#This Row],[Hex2Dec]]*8*30/1000/1000</f>
        <v>25.2912</v>
      </c>
      <c r="G232" s="24">
        <v>13959168</v>
      </c>
      <c r="H232" s="36">
        <f>表69_71[[#This Row],[Core Cycle'#/Frame]]*30/1000/1000</f>
        <v>418.77503999999999</v>
      </c>
      <c r="I232" s="35"/>
    </row>
    <row r="233" spans="1:9" x14ac:dyDescent="0.15">
      <c r="A233" s="37"/>
      <c r="B233" s="34" t="s">
        <v>260</v>
      </c>
      <c r="C233" s="24">
        <v>16</v>
      </c>
      <c r="D233" s="24">
        <v>12212</v>
      </c>
      <c r="E233" s="47">
        <f>HEX2DEC(表69_71[[#This Row],[Bytes_Count/Frame]])</f>
        <v>74258</v>
      </c>
      <c r="F233" s="42">
        <f>表69_71[[#This Row],[Hex2Dec]]*8*30/1000/1000</f>
        <v>17.821919999999999</v>
      </c>
      <c r="G233" s="24">
        <v>13991936</v>
      </c>
      <c r="H233" s="39">
        <f>表69_71[[#This Row],[Core Cycle'#/Frame]]*30/1000/1000</f>
        <v>419.75808000000001</v>
      </c>
      <c r="I233" s="38"/>
    </row>
    <row r="234" spans="1:9" x14ac:dyDescent="0.15">
      <c r="A234" s="34"/>
      <c r="B234" s="34" t="s">
        <v>260</v>
      </c>
      <c r="C234" s="24">
        <v>17</v>
      </c>
      <c r="D234" s="24" t="s">
        <v>203</v>
      </c>
      <c r="E234" s="46">
        <f>HEX2DEC(表69_71[[#This Row],[Bytes_Count/Frame]])</f>
        <v>60061</v>
      </c>
      <c r="F234" s="41">
        <f>表69_71[[#This Row],[Hex2Dec]]*8*30/1000/1000</f>
        <v>14.414639999999999</v>
      </c>
      <c r="G234" s="24">
        <v>14057472</v>
      </c>
      <c r="H234" s="36">
        <f>表69_71[[#This Row],[Core Cycle'#/Frame]]*30/1000/1000</f>
        <v>421.72415999999998</v>
      </c>
      <c r="I234" s="35"/>
    </row>
    <row r="235" spans="1:9" x14ac:dyDescent="0.15">
      <c r="A235" s="37"/>
      <c r="B235" s="34" t="s">
        <v>260</v>
      </c>
      <c r="C235" s="24">
        <v>18</v>
      </c>
      <c r="D235" s="24" t="s">
        <v>196</v>
      </c>
      <c r="E235" s="47">
        <f>HEX2DEC(表69_71[[#This Row],[Bytes_Count/Frame]])</f>
        <v>50807</v>
      </c>
      <c r="F235" s="42">
        <f>表69_71[[#This Row],[Hex2Dec]]*8*30/1000/1000</f>
        <v>12.193680000000001</v>
      </c>
      <c r="G235" s="24">
        <v>13991936</v>
      </c>
      <c r="H235" s="39">
        <f>表69_71[[#This Row],[Core Cycle'#/Frame]]*30/1000/1000</f>
        <v>419.75808000000001</v>
      </c>
      <c r="I235" s="38"/>
    </row>
    <row r="236" spans="1:9" x14ac:dyDescent="0.15">
      <c r="A236" s="34"/>
      <c r="B236" s="34" t="s">
        <v>260</v>
      </c>
      <c r="C236" s="24">
        <v>20</v>
      </c>
      <c r="D236" s="24" t="s">
        <v>189</v>
      </c>
      <c r="E236" s="46">
        <f>HEX2DEC(表69_71[[#This Row],[Bytes_Count/Frame]])</f>
        <v>37365</v>
      </c>
      <c r="F236" s="41">
        <f>表69_71[[#This Row],[Hex2Dec]]*8*30/1000/1000</f>
        <v>8.9676000000000009</v>
      </c>
      <c r="G236" s="24">
        <v>13893632</v>
      </c>
      <c r="H236" s="36">
        <f>表69_71[[#This Row],[Core Cycle'#/Frame]]*30/1000/1000</f>
        <v>416.80896000000001</v>
      </c>
      <c r="I236" s="35"/>
    </row>
    <row r="237" spans="1:9" x14ac:dyDescent="0.15">
      <c r="A237" s="37"/>
      <c r="B237" s="34" t="s">
        <v>260</v>
      </c>
      <c r="C237" s="24">
        <v>22</v>
      </c>
      <c r="D237" s="24" t="s">
        <v>182</v>
      </c>
      <c r="E237" s="47">
        <f>HEX2DEC(表69_71[[#This Row],[Bytes_Count/Frame]])</f>
        <v>27068</v>
      </c>
      <c r="F237" s="42">
        <f>表69_71[[#This Row],[Hex2Dec]]*8*30/1000/1000</f>
        <v>6.4963199999999999</v>
      </c>
      <c r="G237" s="24">
        <v>13893632</v>
      </c>
      <c r="H237" s="39">
        <f>表69_71[[#This Row],[Core Cycle'#/Frame]]*30/1000/1000</f>
        <v>416.80896000000001</v>
      </c>
      <c r="I237" s="38"/>
    </row>
    <row r="238" spans="1:9" x14ac:dyDescent="0.15">
      <c r="A238" s="34"/>
      <c r="B238" s="34" t="s">
        <v>260</v>
      </c>
      <c r="C238" s="24">
        <v>24</v>
      </c>
      <c r="D238" s="24">
        <v>5005</v>
      </c>
      <c r="E238" s="46">
        <f>HEX2DEC(表69_71[[#This Row],[Bytes_Count/Frame]])</f>
        <v>20485</v>
      </c>
      <c r="F238" s="41">
        <f>表69_71[[#This Row],[Hex2Dec]]*8*30/1000/1000</f>
        <v>4.9163999999999994</v>
      </c>
      <c r="G238" s="24">
        <v>13828096</v>
      </c>
      <c r="H238" s="36">
        <f>表69_71[[#This Row],[Core Cycle'#/Frame]]*30/1000/1000</f>
        <v>414.84287999999998</v>
      </c>
      <c r="I238" s="35"/>
    </row>
    <row r="239" spans="1:9" x14ac:dyDescent="0.15">
      <c r="A239" s="37"/>
      <c r="B239" s="34" t="s">
        <v>260</v>
      </c>
      <c r="C239" s="24">
        <v>26</v>
      </c>
      <c r="D239" s="24" t="s">
        <v>161</v>
      </c>
      <c r="E239" s="47">
        <f>HEX2DEC(表69_71[[#This Row],[Bytes_Count/Frame]])</f>
        <v>15962</v>
      </c>
      <c r="F239" s="42">
        <f>表69_71[[#This Row],[Hex2Dec]]*8*30/1000/1000</f>
        <v>3.8308800000000001</v>
      </c>
      <c r="G239" s="24">
        <v>13533184</v>
      </c>
      <c r="H239" s="39">
        <f>表69_71[[#This Row],[Core Cycle'#/Frame]]*30/1000/1000</f>
        <v>405.99552</v>
      </c>
      <c r="I239" s="38"/>
    </row>
    <row r="240" spans="1:9" x14ac:dyDescent="0.15">
      <c r="A240" s="50"/>
      <c r="B240" s="34" t="s">
        <v>260</v>
      </c>
      <c r="C240" s="24">
        <v>33</v>
      </c>
      <c r="D240" s="24" t="s">
        <v>170</v>
      </c>
      <c r="E240" s="52">
        <f>HEX2DEC(表69_71[[#This Row],[Bytes_Count/Frame]])</f>
        <v>6660</v>
      </c>
      <c r="F240" s="53">
        <f>表69_71[[#This Row],[Hex2Dec]]*8*30/1000/1000</f>
        <v>1.5984</v>
      </c>
      <c r="G240" s="24">
        <v>13139968</v>
      </c>
      <c r="H240" s="54">
        <f>表69_71[[#This Row],[Core Cycle'#/Frame]]*30/1000/1000</f>
        <v>394.19903999999997</v>
      </c>
      <c r="I240" s="51"/>
    </row>
  </sheetData>
  <mergeCells count="2">
    <mergeCell ref="A1:I1"/>
    <mergeCell ref="A153:I15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zoomScaleNormal="100" workbookViewId="0">
      <selection activeCell="L7" sqref="L7"/>
    </sheetView>
  </sheetViews>
  <sheetFormatPr defaultRowHeight="13.5" x14ac:dyDescent="0.15"/>
  <cols>
    <col min="1" max="1" width="31.375" customWidth="1"/>
    <col min="2" max="2" width="14" customWidth="1"/>
    <col min="3" max="3" width="14.75" customWidth="1"/>
    <col min="4" max="4" width="15.125" customWidth="1"/>
    <col min="5" max="5" width="14.25" customWidth="1"/>
    <col min="6" max="6" width="14.375" customWidth="1"/>
    <col min="7" max="7" width="14.875" customWidth="1"/>
    <col min="8" max="8" width="14.375" customWidth="1"/>
    <col min="9" max="9" width="15" customWidth="1"/>
    <col min="10" max="10" width="12.625" customWidth="1"/>
    <col min="11" max="11" width="11.25" customWidth="1"/>
    <col min="12" max="12" width="30.625" customWidth="1"/>
    <col min="13" max="13" width="17.875" customWidth="1"/>
    <col min="14" max="14" width="17.75" customWidth="1"/>
    <col min="15" max="15" width="18" customWidth="1"/>
    <col min="16" max="16" width="17" customWidth="1"/>
    <col min="17" max="17" width="16.875" customWidth="1"/>
    <col min="18" max="18" width="16.625" customWidth="1"/>
    <col min="19" max="19" width="18" customWidth="1"/>
    <col min="20" max="20" width="15.5" customWidth="1"/>
  </cols>
  <sheetData>
    <row r="1" spans="1:12" ht="20.25" x14ac:dyDescent="0.25">
      <c r="A1" s="99" t="s">
        <v>291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2" x14ac:dyDescent="0.15">
      <c r="A2" s="3" t="s">
        <v>157</v>
      </c>
      <c r="B2" s="4"/>
      <c r="C2" s="26"/>
      <c r="D2" s="29"/>
      <c r="E2" s="29"/>
      <c r="F2" s="29"/>
      <c r="G2" s="29"/>
      <c r="H2" s="29"/>
      <c r="I2" s="29"/>
      <c r="J2" s="26"/>
    </row>
    <row r="3" spans="1:12" x14ac:dyDescent="0.15">
      <c r="A3" t="s">
        <v>270</v>
      </c>
      <c r="C3" s="24"/>
      <c r="D3" s="24"/>
      <c r="E3" s="24"/>
      <c r="F3" s="24"/>
      <c r="G3" s="24"/>
      <c r="H3" s="24"/>
      <c r="I3" s="24"/>
      <c r="J3" s="24"/>
    </row>
    <row r="4" spans="1:12" ht="27" x14ac:dyDescent="0.15">
      <c r="A4" s="1" t="s">
        <v>1</v>
      </c>
      <c r="B4" s="1" t="s">
        <v>2</v>
      </c>
      <c r="C4" s="25" t="s">
        <v>158</v>
      </c>
      <c r="D4" s="25" t="s">
        <v>287</v>
      </c>
      <c r="E4" s="25" t="s">
        <v>276</v>
      </c>
      <c r="F4" s="57" t="s">
        <v>277</v>
      </c>
      <c r="G4" s="58" t="s">
        <v>278</v>
      </c>
      <c r="H4" s="57" t="s">
        <v>279</v>
      </c>
      <c r="I4" s="58" t="s">
        <v>290</v>
      </c>
      <c r="J4" s="56" t="s">
        <v>280</v>
      </c>
      <c r="K4" s="25" t="s">
        <v>159</v>
      </c>
      <c r="L4" s="1"/>
    </row>
    <row r="5" spans="1:12" x14ac:dyDescent="0.15">
      <c r="A5" t="s">
        <v>271</v>
      </c>
      <c r="B5" t="s">
        <v>0</v>
      </c>
      <c r="C5" s="24">
        <v>30</v>
      </c>
      <c r="D5" s="59">
        <v>55006</v>
      </c>
      <c r="E5" s="40">
        <f>表9_1516171824293031323334354041426185512212917618377[[#This Row],[Bytes_Count/Frame]]*8*30/1024/1024</f>
        <v>12.589874267578125</v>
      </c>
      <c r="F5" s="61">
        <v>12976128</v>
      </c>
      <c r="G5" s="27">
        <f>表9_1516171824293031323334354041426185512212917618377[[#This Row],[Core Cycle
'#/Frame]]*30/1000/1000</f>
        <v>389.28384</v>
      </c>
      <c r="H5" s="59">
        <v>13552690</v>
      </c>
      <c r="I5" s="27">
        <f>表9_1516171824293031323334354041426185512212917618377[[#This Row],[Cpu Cycle 
'#/Frame]]*30/1000/1000</f>
        <v>406.58070000000004</v>
      </c>
      <c r="J5" s="59">
        <v>28</v>
      </c>
      <c r="K5" s="24"/>
    </row>
    <row r="6" spans="1:12" x14ac:dyDescent="0.15">
      <c r="B6" t="s">
        <v>9</v>
      </c>
      <c r="C6" s="24">
        <v>31</v>
      </c>
      <c r="D6" s="59">
        <v>14299</v>
      </c>
      <c r="E6" s="40">
        <f>表9_1516171824293031323334354041426185512212917618377[[#This Row],[Bytes_Count/Frame]]*8*30/1024/1024</f>
        <v>3.2727813720703125</v>
      </c>
      <c r="F6" s="61">
        <v>14123008</v>
      </c>
      <c r="G6" s="27">
        <f>表9_1516171824293031323334354041426185512212917618377[[#This Row],[Core Cycle
'#/Frame]]*30/1000/1000</f>
        <v>423.69024000000002</v>
      </c>
      <c r="H6" s="59">
        <v>14681094</v>
      </c>
      <c r="I6" s="60">
        <f>表9_1516171824293031323334354041426185512212917618377[[#This Row],[Cpu Cycle 
'#/Frame]]*30/1000/1000</f>
        <v>440.43281999999999</v>
      </c>
      <c r="J6" s="59">
        <v>44</v>
      </c>
      <c r="K6" s="24"/>
    </row>
    <row r="7" spans="1:12" x14ac:dyDescent="0.15">
      <c r="B7" t="s">
        <v>10</v>
      </c>
      <c r="C7" s="24">
        <v>32</v>
      </c>
      <c r="D7" s="59">
        <v>3387</v>
      </c>
      <c r="E7" s="40">
        <f>表9_1516171824293031323334354041426185512212917618377[[#This Row],[Bytes_Count/Frame]]*8*30/1024/1024</f>
        <v>0.7752227783203125</v>
      </c>
      <c r="F7" s="61">
        <v>14483456</v>
      </c>
      <c r="G7" s="27">
        <f>表9_1516171824293031323334354041426185512212917618377[[#This Row],[Core Cycle
'#/Frame]]*30/1000/1000</f>
        <v>434.50367999999997</v>
      </c>
      <c r="H7" s="59">
        <v>15036914</v>
      </c>
      <c r="I7" s="60">
        <f>表9_1516171824293031323334354041426185512212917618377[[#This Row],[Cpu Cycle 
'#/Frame]]*30/1000/1000</f>
        <v>451.10741999999999</v>
      </c>
      <c r="J7" s="59">
        <v>55</v>
      </c>
      <c r="K7" s="24"/>
    </row>
    <row r="8" spans="1:12" x14ac:dyDescent="0.15">
      <c r="B8" t="s">
        <v>272</v>
      </c>
      <c r="C8" s="24">
        <v>30</v>
      </c>
      <c r="D8" s="59">
        <v>52516</v>
      </c>
      <c r="E8" s="40">
        <f>表9_1516171824293031323334354041426185512212917618377[[#This Row],[Bytes_Count/Frame]]*8*30/1024/1024</f>
        <v>12.01995849609375</v>
      </c>
      <c r="F8" s="61">
        <v>12976128</v>
      </c>
      <c r="G8" s="27">
        <f>表9_1516171824293031323334354041426185512212917618377[[#This Row],[Core Cycle
'#/Frame]]*30/1000/1000</f>
        <v>389.28384</v>
      </c>
      <c r="H8" s="59">
        <v>13538706</v>
      </c>
      <c r="I8" s="60">
        <f>表9_1516171824293031323334354041426185512212917618377[[#This Row],[Cpu Cycle 
'#/Frame]]*30/1000/1000</f>
        <v>406.16118</v>
      </c>
      <c r="J8" s="59">
        <v>28</v>
      </c>
      <c r="K8" s="24"/>
    </row>
    <row r="9" spans="1:12" x14ac:dyDescent="0.15">
      <c r="B9" t="s">
        <v>10</v>
      </c>
      <c r="C9" s="24">
        <v>32</v>
      </c>
      <c r="D9" s="59">
        <v>3999</v>
      </c>
      <c r="E9" s="40">
        <f>表9_1516171824293031323334354041426185512212917618377[[#This Row],[Bytes_Count/Frame]]*8*30/1024/1024</f>
        <v>0.9152984619140625</v>
      </c>
      <c r="F9" s="61">
        <v>13565952</v>
      </c>
      <c r="G9" s="27">
        <f>表9_1516171824293031323334354041426185512212917618377[[#This Row],[Core Cycle
'#/Frame]]*30/1000/1000</f>
        <v>406.97856000000002</v>
      </c>
      <c r="H9" s="59">
        <v>14137434</v>
      </c>
      <c r="I9" s="60">
        <f>表9_1516171824293031323334354041426185512212917618377[[#This Row],[Cpu Cycle 
'#/Frame]]*30/1000/1000</f>
        <v>424.12302</v>
      </c>
      <c r="J9" s="59">
        <v>55</v>
      </c>
      <c r="K9" s="24"/>
    </row>
    <row r="10" spans="1:12" x14ac:dyDescent="0.15">
      <c r="B10" t="s">
        <v>9</v>
      </c>
      <c r="C10" s="24">
        <v>31</v>
      </c>
      <c r="D10" s="59">
        <v>13987</v>
      </c>
      <c r="E10" s="40">
        <f>表9_1516171824293031323334354041426185512212917618377[[#This Row],[Bytes_Count/Frame]]*8*30/1024/1024</f>
        <v>3.2013702392578125</v>
      </c>
      <c r="F10" s="61">
        <v>14024704</v>
      </c>
      <c r="G10" s="27">
        <f>表9_1516171824293031323334354041426185512212917618377[[#This Row],[Core Cycle
'#/Frame]]*30/1000/1000</f>
        <v>420.74112000000002</v>
      </c>
      <c r="H10" s="59">
        <v>14599658</v>
      </c>
      <c r="I10" s="60">
        <f>表9_1516171824293031323334354041426185512212917618377[[#This Row],[Cpu Cycle 
'#/Frame]]*30/1000/1000</f>
        <v>437.98973999999998</v>
      </c>
      <c r="J10" s="59">
        <v>44</v>
      </c>
      <c r="K10" s="24"/>
    </row>
    <row r="11" spans="1:12" x14ac:dyDescent="0.15">
      <c r="B11" t="s">
        <v>273</v>
      </c>
      <c r="C11" s="24">
        <v>32</v>
      </c>
      <c r="D11" s="59">
        <v>3748</v>
      </c>
      <c r="E11" s="40">
        <f>表9_1516171824293031323334354041426185512212917618377[[#This Row],[Bytes_Count/Frame]]*8*30/1024/1024</f>
        <v>0.85784912109375</v>
      </c>
      <c r="F11" s="61">
        <v>14417920</v>
      </c>
      <c r="G11" s="27">
        <f>表9_1516171824293031323334354041426185512212917618377[[#This Row],[Core Cycle
'#/Frame]]*30/1000/1000</f>
        <v>432.5376</v>
      </c>
      <c r="H11" s="59">
        <v>14980282</v>
      </c>
      <c r="I11" s="60">
        <f>表9_1516171824293031323334354041426185512212917618377[[#This Row],[Cpu Cycle 
'#/Frame]]*30/1000/1000</f>
        <v>449.40846000000005</v>
      </c>
      <c r="J11" s="59">
        <v>56</v>
      </c>
      <c r="K11" s="24"/>
    </row>
    <row r="12" spans="1:12" x14ac:dyDescent="0.15">
      <c r="B12" t="s">
        <v>272</v>
      </c>
      <c r="C12" s="24">
        <v>30</v>
      </c>
      <c r="D12" s="59">
        <v>49313</v>
      </c>
      <c r="E12" s="40">
        <f>表9_1516171824293031323334354041426185512212917618377[[#This Row],[Bytes_Count/Frame]]*8*30/1024/1024</f>
        <v>11.286849975585938</v>
      </c>
      <c r="F12" s="61">
        <v>12976128</v>
      </c>
      <c r="G12" s="27">
        <f>表9_1516171824293031323334354041426185512212917618377[[#This Row],[Core Cycle
'#/Frame]]*30/1000/1000</f>
        <v>389.28384</v>
      </c>
      <c r="H12" s="59">
        <v>13529778</v>
      </c>
      <c r="I12" s="60">
        <f>表9_1516171824293031323334354041426185512212917618377[[#This Row],[Cpu Cycle 
'#/Frame]]*30/1000/1000</f>
        <v>405.89334000000002</v>
      </c>
      <c r="J12" s="59">
        <v>28</v>
      </c>
      <c r="K12" s="24"/>
    </row>
    <row r="13" spans="1:12" x14ac:dyDescent="0.15">
      <c r="B13" t="s">
        <v>273</v>
      </c>
      <c r="C13" s="24">
        <v>32</v>
      </c>
      <c r="D13" s="59">
        <v>3837</v>
      </c>
      <c r="E13" s="40">
        <f>表9_1516171824293031323334354041426185512212917618377[[#This Row],[Bytes_Count/Frame]]*8*30/1024/1024</f>
        <v>0.8782196044921875</v>
      </c>
      <c r="F13" s="61">
        <v>13533184</v>
      </c>
      <c r="G13" s="27">
        <f>表9_1516171824293031323334354041426185512212917618377[[#This Row],[Core Cycle
'#/Frame]]*30/1000/1000</f>
        <v>405.99552</v>
      </c>
      <c r="H13" s="59">
        <v>14101722</v>
      </c>
      <c r="I13" s="60">
        <f>表9_1516171824293031323334354041426185512212917618377[[#This Row],[Cpu Cycle 
'#/Frame]]*30/1000/1000</f>
        <v>423.05165999999997</v>
      </c>
      <c r="J13" s="59">
        <v>55</v>
      </c>
      <c r="K13" s="24"/>
    </row>
    <row r="14" spans="1:12" x14ac:dyDescent="0.15">
      <c r="B14" t="s">
        <v>300</v>
      </c>
      <c r="C14" s="24">
        <v>31</v>
      </c>
      <c r="D14" s="59">
        <v>18461</v>
      </c>
      <c r="E14" s="40">
        <f>表9_1516171824293031323334354041426185512212917618377[[#This Row],[Bytes_Count/Frame]]*8*30/1024/1024</f>
        <v>4.2253875732421875</v>
      </c>
      <c r="F14" s="61">
        <v>14123008</v>
      </c>
      <c r="G14" s="27">
        <f>表9_1516171824293031323334354041426185512212917618377[[#This Row],[Core Cycle
'#/Frame]]*30/1000/1000</f>
        <v>423.69024000000002</v>
      </c>
      <c r="H14" s="59">
        <v>14707994</v>
      </c>
      <c r="I14" s="60">
        <f>表9_1516171824293031323334354041426185512212917618377[[#This Row],[Cpu Cycle 
'#/Frame]]*30/1000/1000</f>
        <v>441.23982000000001</v>
      </c>
      <c r="J14" s="59">
        <v>45</v>
      </c>
      <c r="K14" s="24"/>
    </row>
    <row r="16" spans="1:12" ht="27" x14ac:dyDescent="0.15">
      <c r="A16" s="1" t="s">
        <v>1</v>
      </c>
      <c r="B16" s="1" t="s">
        <v>2</v>
      </c>
      <c r="C16" s="25" t="s">
        <v>158</v>
      </c>
      <c r="D16" s="25" t="s">
        <v>287</v>
      </c>
      <c r="E16" s="25" t="s">
        <v>276</v>
      </c>
      <c r="F16" s="57" t="s">
        <v>277</v>
      </c>
      <c r="G16" s="58" t="s">
        <v>278</v>
      </c>
      <c r="H16" s="57" t="s">
        <v>279</v>
      </c>
      <c r="I16" s="58" t="s">
        <v>290</v>
      </c>
      <c r="J16" s="56" t="s">
        <v>280</v>
      </c>
      <c r="K16" s="25" t="s">
        <v>159</v>
      </c>
    </row>
    <row r="17" spans="1:11" x14ac:dyDescent="0.15">
      <c r="A17" t="s">
        <v>275</v>
      </c>
      <c r="B17" t="s">
        <v>0</v>
      </c>
      <c r="C17" s="24">
        <v>30</v>
      </c>
      <c r="D17" s="59">
        <v>56009</v>
      </c>
      <c r="E17" s="40">
        <f>表9_151617182429303132333435404142618551221291761837778[[#This Row],[Bytes_Count/Frame]]*8*30/1024/1024</f>
        <v>12.819442749023438</v>
      </c>
      <c r="F17" s="62">
        <v>12976128</v>
      </c>
      <c r="G17" s="27">
        <f>表9_151617182429303132333435404142618551221291761837778[[#This Row],[Core Cycle
'#/Frame]]*30/1000/1000</f>
        <v>389.28384</v>
      </c>
      <c r="H17" s="59">
        <v>13543762</v>
      </c>
      <c r="I17" s="27">
        <f>表9_151617182429303132333435404142618551221291761837778[[#This Row],[Cpu Cycle 
'#/Frame]]*30/1000/1000</f>
        <v>406.31286</v>
      </c>
      <c r="J17" s="59">
        <v>28</v>
      </c>
      <c r="K17" s="24"/>
    </row>
    <row r="18" spans="1:11" x14ac:dyDescent="0.15">
      <c r="B18" t="s">
        <v>9</v>
      </c>
      <c r="C18" s="24">
        <v>31</v>
      </c>
      <c r="D18" s="59">
        <v>17640</v>
      </c>
      <c r="E18" s="40">
        <f>表9_151617182429303132333435404142618551221291761837778[[#This Row],[Bytes_Count/Frame]]*8*30/1024/1024</f>
        <v>4.0374755859375</v>
      </c>
      <c r="F18" s="62">
        <v>14483456</v>
      </c>
      <c r="G18" s="27">
        <f>表9_151617182429303132333435404142618551221291761837778[[#This Row],[Core Cycle
'#/Frame]]*30/1000/1000</f>
        <v>434.50367999999997</v>
      </c>
      <c r="H18" s="59">
        <v>15028354</v>
      </c>
      <c r="I18" s="60">
        <f>表9_151617182429303132333435404142618551221291761837778[[#This Row],[Cpu Cycle 
'#/Frame]]*30/1000/1000</f>
        <v>450.85061999999999</v>
      </c>
      <c r="J18" s="59">
        <v>45</v>
      </c>
      <c r="K18" s="24"/>
    </row>
    <row r="19" spans="1:11" x14ac:dyDescent="0.15">
      <c r="B19" t="s">
        <v>10</v>
      </c>
      <c r="C19" s="24">
        <v>32</v>
      </c>
      <c r="D19" s="59">
        <v>2701</v>
      </c>
      <c r="E19" s="40">
        <f>表9_151617182429303132333435404142618551221291761837778[[#This Row],[Bytes_Count/Frame]]*8*30/1024/1024</f>
        <v>0.6182098388671875</v>
      </c>
      <c r="F19" s="62">
        <v>14876672</v>
      </c>
      <c r="G19" s="27">
        <f>表9_151617182429303132333435404142618551221291761837778[[#This Row],[Core Cycle
'#/Frame]]*30/1000/1000</f>
        <v>446.30015999999995</v>
      </c>
      <c r="H19" s="59">
        <v>15431014</v>
      </c>
      <c r="I19" s="60">
        <f>表9_151617182429303132333435404142618551221291761837778[[#This Row],[Cpu Cycle 
'#/Frame]]*30/1000/1000</f>
        <v>462.93041999999997</v>
      </c>
      <c r="J19" s="59">
        <v>58</v>
      </c>
      <c r="K19" s="24"/>
    </row>
    <row r="20" spans="1:11" x14ac:dyDescent="0.15">
      <c r="B20" t="s">
        <v>272</v>
      </c>
      <c r="C20" s="24">
        <v>30</v>
      </c>
      <c r="D20" s="59">
        <v>53818</v>
      </c>
      <c r="E20" s="40">
        <f>表9_151617182429303132333435404142618551221291761837778[[#This Row],[Bytes_Count/Frame]]*8*30/1024/1024</f>
        <v>12.317962646484375</v>
      </c>
      <c r="F20" s="62">
        <v>12976128</v>
      </c>
      <c r="G20" s="27">
        <f>表9_151617182429303132333435404142618551221291761837778[[#This Row],[Core Cycle
'#/Frame]]*30/1000/1000</f>
        <v>389.28384</v>
      </c>
      <c r="H20" s="59">
        <v>13538706</v>
      </c>
      <c r="I20" s="60">
        <f>表9_151617182429303132333435404142618551221291761837778[[#This Row],[Cpu Cycle 
'#/Frame]]*30/1000/1000</f>
        <v>406.16118</v>
      </c>
      <c r="J20" s="59">
        <v>28</v>
      </c>
      <c r="K20" s="24"/>
    </row>
    <row r="21" spans="1:11" x14ac:dyDescent="0.15">
      <c r="B21" t="s">
        <v>10</v>
      </c>
      <c r="C21" s="24">
        <v>32</v>
      </c>
      <c r="D21" s="59">
        <v>3811</v>
      </c>
      <c r="E21" s="40">
        <f>表9_151617182429303132333435404142618551221291761837778[[#This Row],[Bytes_Count/Frame]]*8*30/1024/1024</f>
        <v>0.8722686767578125</v>
      </c>
      <c r="F21" s="62">
        <v>14745600</v>
      </c>
      <c r="G21" s="27">
        <f>表9_151617182429303132333435404142618551221291761837778[[#This Row],[Core Cycle
'#/Frame]]*30/1000/1000</f>
        <v>442.36799999999999</v>
      </c>
      <c r="H21" s="59">
        <v>15320486</v>
      </c>
      <c r="I21" s="60">
        <f>表9_151617182429303132333435404142618551221291761837778[[#This Row],[Cpu Cycle 
'#/Frame]]*30/1000/1000</f>
        <v>459.61457999999999</v>
      </c>
      <c r="J21" s="59">
        <v>57</v>
      </c>
      <c r="K21" s="24"/>
    </row>
    <row r="22" spans="1:11" x14ac:dyDescent="0.15">
      <c r="B22" t="s">
        <v>9</v>
      </c>
      <c r="C22" s="24">
        <v>31</v>
      </c>
      <c r="D22" s="59">
        <v>18105</v>
      </c>
      <c r="E22" s="40">
        <f>表9_151617182429303132333435404142618551221291761837778[[#This Row],[Bytes_Count/Frame]]*8*30/1024/1024</f>
        <v>4.1439056396484375</v>
      </c>
      <c r="F22" s="62">
        <v>14450688</v>
      </c>
      <c r="G22" s="27">
        <f>表9_151617182429303132333435404142618551221291761837778[[#This Row],[Core Cycle
'#/Frame]]*30/1000/1000</f>
        <v>433.52064000000001</v>
      </c>
      <c r="H22" s="59">
        <v>15010530</v>
      </c>
      <c r="I22" s="60">
        <f>表9_151617182429303132333435404142618551221291761837778[[#This Row],[Cpu Cycle 
'#/Frame]]*30/1000/1000</f>
        <v>450.3159</v>
      </c>
      <c r="J22" s="59">
        <v>45</v>
      </c>
      <c r="K22" s="24"/>
    </row>
    <row r="23" spans="1:11" x14ac:dyDescent="0.15">
      <c r="B23" t="s">
        <v>273</v>
      </c>
      <c r="C23" s="24">
        <v>32</v>
      </c>
      <c r="D23" s="59">
        <v>3009</v>
      </c>
      <c r="E23" s="40">
        <f>表9_151617182429303132333435404142618551221291761837778[[#This Row],[Bytes_Count/Frame]]*8*30/1024/1024</f>
        <v>0.6887054443359375</v>
      </c>
      <c r="F23" s="62">
        <v>15040512</v>
      </c>
      <c r="G23" s="27">
        <f>表9_151617182429303132333435404142618551221291761837778[[#This Row],[Core Cycle
'#/Frame]]*30/1000/1000</f>
        <v>451.21535999999998</v>
      </c>
      <c r="H23" s="59">
        <v>15591158</v>
      </c>
      <c r="I23" s="60">
        <f>表9_151617182429303132333435404142618551221291761837778[[#This Row],[Cpu Cycle 
'#/Frame]]*30/1000/1000</f>
        <v>467.73473999999999</v>
      </c>
      <c r="J23" s="59">
        <v>58</v>
      </c>
      <c r="K23" s="24"/>
    </row>
    <row r="24" spans="1:11" x14ac:dyDescent="0.15">
      <c r="B24" t="s">
        <v>272</v>
      </c>
      <c r="C24" s="24">
        <v>30</v>
      </c>
      <c r="D24" s="59">
        <v>54331</v>
      </c>
      <c r="E24" s="40">
        <f>表9_151617182429303132333435404142618551221291761837778[[#This Row],[Bytes_Count/Frame]]*8*30/1024/1024</f>
        <v>12.435379028320313</v>
      </c>
      <c r="F24" s="62">
        <v>12976128</v>
      </c>
      <c r="G24" s="27">
        <f>表9_151617182429303132333435404142618551221291761837778[[#This Row],[Core Cycle
'#/Frame]]*30/1000/1000</f>
        <v>389.28384</v>
      </c>
      <c r="H24" s="59">
        <v>13538706</v>
      </c>
      <c r="I24" s="60">
        <f>表9_151617182429303132333435404142618551221291761837778[[#This Row],[Cpu Cycle 
'#/Frame]]*30/1000/1000</f>
        <v>406.16118</v>
      </c>
      <c r="J24" s="59">
        <v>28</v>
      </c>
      <c r="K24" s="24"/>
    </row>
    <row r="25" spans="1:11" x14ac:dyDescent="0.15">
      <c r="B25" t="s">
        <v>273</v>
      </c>
      <c r="C25" s="24">
        <v>32</v>
      </c>
      <c r="D25" s="59">
        <v>4278</v>
      </c>
      <c r="E25" s="40">
        <f>表9_151617182429303132333435404142618551221291761837778[[#This Row],[Bytes_Count/Frame]]*8*30/1024/1024</f>
        <v>0.979156494140625</v>
      </c>
      <c r="F25" s="62">
        <v>14516224</v>
      </c>
      <c r="G25" s="27">
        <f>表9_151617182429303132333435404142618551221291761837778[[#This Row],[Core Cycle
'#/Frame]]*30/1000/1000</f>
        <v>435.48671999999999</v>
      </c>
      <c r="H25" s="59">
        <v>15092246</v>
      </c>
      <c r="I25" s="60">
        <f>表9_151617182429303132333435404142618551221291761837778[[#This Row],[Cpu Cycle 
'#/Frame]]*30/1000/1000</f>
        <v>452.76738</v>
      </c>
      <c r="J25" s="59">
        <v>57</v>
      </c>
      <c r="K25" s="24"/>
    </row>
    <row r="26" spans="1:11" x14ac:dyDescent="0.15">
      <c r="B26" t="s">
        <v>300</v>
      </c>
      <c r="C26" s="24">
        <v>31</v>
      </c>
      <c r="D26" s="59">
        <v>23178</v>
      </c>
      <c r="E26" s="40">
        <f>表9_151617182429303132333435404142618551221291761837778[[#This Row],[Bytes_Count/Frame]]*8*30/1024/1024</f>
        <v>5.305023193359375</v>
      </c>
      <c r="F26" s="62">
        <v>13991936</v>
      </c>
      <c r="G26" s="27">
        <f>表9_151617182429303132333435404142618551221291761837778[[#This Row],[Core Cycle
'#/Frame]]*30/1000/1000</f>
        <v>419.75808000000001</v>
      </c>
      <c r="H26" s="59">
        <v>14590790</v>
      </c>
      <c r="I26" s="60">
        <f>表9_151617182429303132333435404142618551221291761837778[[#This Row],[Cpu Cycle 
'#/Frame]]*30/1000/1000</f>
        <v>437.72370000000001</v>
      </c>
      <c r="J26" s="59">
        <v>46</v>
      </c>
      <c r="K26" s="24"/>
    </row>
    <row r="28" spans="1:11" ht="27" x14ac:dyDescent="0.15">
      <c r="A28" s="1" t="s">
        <v>1</v>
      </c>
      <c r="B28" s="1" t="s">
        <v>2</v>
      </c>
      <c r="C28" s="25" t="s">
        <v>158</v>
      </c>
      <c r="D28" s="25" t="s">
        <v>287</v>
      </c>
      <c r="E28" s="25" t="s">
        <v>276</v>
      </c>
      <c r="F28" s="57" t="s">
        <v>277</v>
      </c>
      <c r="G28" s="58" t="s">
        <v>278</v>
      </c>
      <c r="H28" s="57" t="s">
        <v>279</v>
      </c>
      <c r="I28" s="58" t="s">
        <v>290</v>
      </c>
      <c r="J28" s="56" t="s">
        <v>280</v>
      </c>
      <c r="K28" s="25" t="s">
        <v>159</v>
      </c>
    </row>
    <row r="29" spans="1:11" x14ac:dyDescent="0.15">
      <c r="A29" t="s">
        <v>281</v>
      </c>
      <c r="B29" t="s">
        <v>0</v>
      </c>
      <c r="C29" s="24">
        <v>30</v>
      </c>
      <c r="D29" s="59">
        <v>69764</v>
      </c>
      <c r="E29" s="40">
        <f>表9_15161718242930313233343540414261855122129176183777879[[#This Row],[Bytes_Count/Frame]]*8*30/1024/1024</f>
        <v>15.96771240234375</v>
      </c>
      <c r="F29" s="63">
        <v>13074432</v>
      </c>
      <c r="G29" s="27">
        <f>表9_15161718242930313233343540414261855122129176183777879[[#This Row],[Core Cycle
'#/Frame]]*30/1000/1000</f>
        <v>392.23296000000005</v>
      </c>
      <c r="H29" s="59">
        <v>13633242</v>
      </c>
      <c r="I29" s="27">
        <f>表9_15161718242930313233343540414261855122129176183777879[[#This Row],[Cpu Cycle 
'#/Frame]]*30/1000/1000</f>
        <v>408.99725999999998</v>
      </c>
      <c r="J29" s="59">
        <v>28</v>
      </c>
      <c r="K29" s="24"/>
    </row>
    <row r="30" spans="1:11" x14ac:dyDescent="0.15">
      <c r="B30" t="s">
        <v>9</v>
      </c>
      <c r="C30" s="24">
        <v>31</v>
      </c>
      <c r="D30" s="59">
        <v>24787</v>
      </c>
      <c r="E30" s="40">
        <f>表9_15161718242930313233343540414261855122129176183777879[[#This Row],[Bytes_Count/Frame]]*8*30/1024/1024</f>
        <v>5.6732940673828125</v>
      </c>
      <c r="F30" s="63">
        <v>14811136</v>
      </c>
      <c r="G30" s="27">
        <f>表9_15161718242930313233343540414261855122129176183777879[[#This Row],[Core Cycle
'#/Frame]]*30/1000/1000</f>
        <v>444.33408000000003</v>
      </c>
      <c r="H30" s="59">
        <v>15359926</v>
      </c>
      <c r="I30" s="60">
        <f>表9_15161718242930313233343540414261855122129176183777879[[#This Row],[Cpu Cycle 
'#/Frame]]*30/1000/1000</f>
        <v>460.79778000000005</v>
      </c>
      <c r="J30" s="59">
        <v>46</v>
      </c>
      <c r="K30" s="24"/>
    </row>
    <row r="31" spans="1:11" x14ac:dyDescent="0.15">
      <c r="B31" t="s">
        <v>10</v>
      </c>
      <c r="C31" s="24">
        <v>32</v>
      </c>
      <c r="D31" s="59">
        <v>3971</v>
      </c>
      <c r="E31" s="40">
        <f>表9_15161718242930313233343540414261855122129176183777879[[#This Row],[Bytes_Count/Frame]]*8*30/1024/1024</f>
        <v>0.9088897705078125</v>
      </c>
      <c r="F31" s="63">
        <v>14974976</v>
      </c>
      <c r="G31" s="27">
        <f>表9_15161718242930313233343540414261855122129176183777879[[#This Row],[Core Cycle
'#/Frame]]*30/1000/1000</f>
        <v>449.24928000000006</v>
      </c>
      <c r="H31" s="59">
        <v>15529270</v>
      </c>
      <c r="I31" s="60">
        <f>表9_15161718242930313233343540414261855122129176183777879[[#This Row],[Cpu Cycle 
'#/Frame]]*30/1000/1000</f>
        <v>465.87809999999996</v>
      </c>
      <c r="J31" s="59">
        <v>59</v>
      </c>
      <c r="K31" s="24"/>
    </row>
    <row r="32" spans="1:11" x14ac:dyDescent="0.15">
      <c r="B32" t="s">
        <v>272</v>
      </c>
      <c r="C32" s="24">
        <v>30</v>
      </c>
      <c r="D32" s="59">
        <v>73103</v>
      </c>
      <c r="E32" s="40">
        <f>表9_15161718242930313233343540414261855122129176183777879[[#This Row],[Bytes_Count/Frame]]*8*30/1024/1024</f>
        <v>16.731948852539063</v>
      </c>
      <c r="F32" s="63">
        <v>13074432</v>
      </c>
      <c r="G32" s="27">
        <f>表9_15161718242930313233343540414261855122129176183777879[[#This Row],[Core Cycle
'#/Frame]]*30/1000/1000</f>
        <v>392.23296000000005</v>
      </c>
      <c r="H32" s="59">
        <v>13654986</v>
      </c>
      <c r="I32" s="60">
        <f>表9_15161718242930313233343540414261855122129176183777879[[#This Row],[Cpu Cycle 
'#/Frame]]*30/1000/1000</f>
        <v>409.64958000000001</v>
      </c>
      <c r="J32" s="59">
        <v>28</v>
      </c>
      <c r="K32" s="24"/>
    </row>
    <row r="33" spans="1:11" x14ac:dyDescent="0.15">
      <c r="B33" t="s">
        <v>10</v>
      </c>
      <c r="C33" s="24">
        <v>32</v>
      </c>
      <c r="D33" s="59">
        <v>5089</v>
      </c>
      <c r="E33" s="40">
        <f>表9_15161718242930313233343540414261855122129176183777879[[#This Row],[Bytes_Count/Frame]]*8*30/1024/1024</f>
        <v>1.1647796630859375</v>
      </c>
      <c r="F33" s="63">
        <v>14876672</v>
      </c>
      <c r="G33" s="27">
        <f>表9_15161718242930313233343540414261855122129176183777879[[#This Row],[Core Cycle
'#/Frame]]*30/1000/1000</f>
        <v>446.30015999999995</v>
      </c>
      <c r="H33" s="59">
        <v>15441666</v>
      </c>
      <c r="I33" s="60">
        <f>表9_15161718242930313233343540414261855122129176183777879[[#This Row],[Cpu Cycle 
'#/Frame]]*30/1000/1000</f>
        <v>463.24997999999999</v>
      </c>
      <c r="J33" s="59">
        <v>58</v>
      </c>
      <c r="K33" s="24"/>
    </row>
    <row r="34" spans="1:11" x14ac:dyDescent="0.15">
      <c r="B34" t="s">
        <v>9</v>
      </c>
      <c r="C34" s="24">
        <v>31</v>
      </c>
      <c r="D34" s="59">
        <v>24879</v>
      </c>
      <c r="E34" s="40">
        <f>表9_15161718242930313233343540414261855122129176183777879[[#This Row],[Bytes_Count/Frame]]*8*30/1024/1024</f>
        <v>5.6943511962890625</v>
      </c>
      <c r="F34" s="63">
        <v>14745600</v>
      </c>
      <c r="G34" s="27">
        <f>表9_15161718242930313233343540414261855122129176183777879[[#This Row],[Core Cycle
'#/Frame]]*30/1000/1000</f>
        <v>442.36799999999999</v>
      </c>
      <c r="H34" s="59">
        <v>15292546</v>
      </c>
      <c r="I34" s="60">
        <f>表9_15161718242930313233343540414261855122129176183777879[[#This Row],[Cpu Cycle 
'#/Frame]]*30/1000/1000</f>
        <v>458.77638000000002</v>
      </c>
      <c r="J34" s="59">
        <v>45</v>
      </c>
      <c r="K34" s="24"/>
    </row>
    <row r="35" spans="1:11" x14ac:dyDescent="0.15">
      <c r="B35" t="s">
        <v>273</v>
      </c>
      <c r="C35" s="24">
        <v>32</v>
      </c>
      <c r="D35" s="59">
        <v>4822</v>
      </c>
      <c r="E35" s="40">
        <f>表9_15161718242930313233343540414261855122129176183777879[[#This Row],[Bytes_Count/Frame]]*8*30/1024/1024</f>
        <v>1.103668212890625</v>
      </c>
      <c r="F35" s="63">
        <v>15007744</v>
      </c>
      <c r="G35" s="27">
        <f>表9_15161718242930313233343540414261855122129176183777879[[#This Row],[Core Cycle
'#/Frame]]*30/1000/1000</f>
        <v>450.23232000000002</v>
      </c>
      <c r="H35" s="59">
        <v>15556222</v>
      </c>
      <c r="I35" s="60">
        <f>表9_15161718242930313233343540414261855122129176183777879[[#This Row],[Cpu Cycle 
'#/Frame]]*30/1000/1000</f>
        <v>466.68665999999996</v>
      </c>
      <c r="J35" s="59">
        <v>59</v>
      </c>
      <c r="K35" s="24"/>
    </row>
    <row r="36" spans="1:11" x14ac:dyDescent="0.15">
      <c r="B36" t="s">
        <v>272</v>
      </c>
      <c r="C36" s="24">
        <v>30</v>
      </c>
      <c r="D36" s="59">
        <v>76374</v>
      </c>
      <c r="E36" s="40">
        <f>表9_15161718242930313233343540414261855122129176183777879[[#This Row],[Bytes_Count/Frame]]*8*30/1024/1024</f>
        <v>17.480621337890625</v>
      </c>
      <c r="F36" s="63">
        <v>13107200</v>
      </c>
      <c r="G36" s="27">
        <f>表9_15161718242930313233343540414261855122129176183777879[[#This Row],[Core Cycle
'#/Frame]]*30/1000/1000</f>
        <v>393.21600000000001</v>
      </c>
      <c r="H36" s="59">
        <v>13655642</v>
      </c>
      <c r="I36" s="60">
        <f>表9_15161718242930313233343540414261855122129176183777879[[#This Row],[Cpu Cycle 
'#/Frame]]*30/1000/1000</f>
        <v>409.66926000000001</v>
      </c>
      <c r="J36" s="59">
        <v>28</v>
      </c>
      <c r="K36" s="24"/>
    </row>
    <row r="37" spans="1:11" x14ac:dyDescent="0.15">
      <c r="B37" t="s">
        <v>273</v>
      </c>
      <c r="C37" s="24">
        <v>32</v>
      </c>
      <c r="D37" s="59">
        <v>5193</v>
      </c>
      <c r="E37" s="40">
        <f>表9_15161718242930313233343540414261855122129176183777879[[#This Row],[Bytes_Count/Frame]]*8*30/1024/1024</f>
        <v>1.1885833740234375</v>
      </c>
      <c r="F37" s="63">
        <v>14942208</v>
      </c>
      <c r="G37" s="27">
        <f>表9_15161718242930313233343540414261855122129176183777879[[#This Row],[Core Cycle
'#/Frame]]*30/1000/1000</f>
        <v>448.26623999999998</v>
      </c>
      <c r="H37" s="59">
        <v>15504210</v>
      </c>
      <c r="I37" s="60">
        <f>表9_15161718242930313233343540414261855122129176183777879[[#This Row],[Cpu Cycle 
'#/Frame]]*30/1000/1000</f>
        <v>465.12630000000001</v>
      </c>
      <c r="J37" s="59">
        <v>58</v>
      </c>
      <c r="K37" s="24"/>
    </row>
    <row r="38" spans="1:11" x14ac:dyDescent="0.15">
      <c r="B38" t="s">
        <v>301</v>
      </c>
      <c r="C38" s="24">
        <v>31</v>
      </c>
      <c r="D38" s="59">
        <v>30005</v>
      </c>
      <c r="E38" s="40">
        <f>表9_15161718242930313233343540414261855122129176183777879[[#This Row],[Bytes_Count/Frame]]*8*30/1024/1024</f>
        <v>6.8675994873046875</v>
      </c>
      <c r="F38" s="63">
        <v>14450688</v>
      </c>
      <c r="G38" s="27">
        <f>表9_15161718242930313233343540414261855122129176183777879[[#This Row],[Core Cycle
'#/Frame]]*30/1000/1000</f>
        <v>433.52064000000001</v>
      </c>
      <c r="H38" s="59">
        <v>15055254</v>
      </c>
      <c r="I38" s="60">
        <f>表9_15161718242930313233343540414261855122129176183777879[[#This Row],[Cpu Cycle 
'#/Frame]]*30/1000/1000</f>
        <v>451.65762000000001</v>
      </c>
      <c r="J38" s="59">
        <v>47</v>
      </c>
      <c r="K38" s="24"/>
    </row>
    <row r="40" spans="1:11" ht="27" x14ac:dyDescent="0.15">
      <c r="A40" s="1" t="s">
        <v>1</v>
      </c>
      <c r="B40" s="1" t="s">
        <v>2</v>
      </c>
      <c r="C40" s="25" t="s">
        <v>158</v>
      </c>
      <c r="D40" s="25" t="s">
        <v>287</v>
      </c>
      <c r="E40" s="25" t="s">
        <v>276</v>
      </c>
      <c r="F40" s="57" t="s">
        <v>277</v>
      </c>
      <c r="G40" s="58" t="s">
        <v>278</v>
      </c>
      <c r="H40" s="57" t="s">
        <v>279</v>
      </c>
      <c r="I40" s="58" t="s">
        <v>290</v>
      </c>
      <c r="J40" s="56" t="s">
        <v>280</v>
      </c>
      <c r="K40" s="25" t="s">
        <v>159</v>
      </c>
    </row>
    <row r="41" spans="1:11" x14ac:dyDescent="0.15">
      <c r="A41" t="s">
        <v>283</v>
      </c>
      <c r="B41" t="s">
        <v>0</v>
      </c>
      <c r="C41" s="24">
        <v>30</v>
      </c>
      <c r="D41" s="64">
        <v>95607</v>
      </c>
      <c r="E41" s="40">
        <f>表9_1516171824293031323334354041426185512212917618377787980[[#This Row],[Bytes_Count/Frame]]*8*30/1024/1024</f>
        <v>21.882705688476562</v>
      </c>
      <c r="F41" s="65">
        <v>13303808</v>
      </c>
      <c r="G41" s="27">
        <f>表9_1516171824293031323334354041426185512212917618377787980[[#This Row],[Core Cycle
'#/Frame]]*30/1000/1000</f>
        <v>399.11424</v>
      </c>
      <c r="H41" s="59">
        <v>13871242</v>
      </c>
      <c r="I41" s="27">
        <f>表9_1516171824293031323334354041426185512212917618377787980[[#This Row],[Cpu Cycle 
'#/Frame]]*30/1000/1000</f>
        <v>416.13726000000003</v>
      </c>
      <c r="J41" s="59">
        <v>28</v>
      </c>
      <c r="K41" s="24"/>
    </row>
    <row r="42" spans="1:11" x14ac:dyDescent="0.15">
      <c r="B42" t="s">
        <v>9</v>
      </c>
      <c r="C42" s="24">
        <v>31</v>
      </c>
      <c r="D42" s="64">
        <v>12555</v>
      </c>
      <c r="E42" s="40">
        <f>表9_1516171824293031323334354041426185512212917618377787980[[#This Row],[Bytes_Count/Frame]]*8*30/1024/1024</f>
        <v>2.8736114501953125</v>
      </c>
      <c r="F42" s="65">
        <v>14778368</v>
      </c>
      <c r="G42" s="27">
        <f>表9_1516171824293031323334354041426185512212917618377787980[[#This Row],[Core Cycle
'#/Frame]]*30/1000/1000</f>
        <v>443.35103999999995</v>
      </c>
      <c r="H42" s="59">
        <v>15342062</v>
      </c>
      <c r="I42" s="60">
        <f>表9_1516171824293031323334354041426185512212917618377787980[[#This Row],[Cpu Cycle 
'#/Frame]]*30/1000/1000</f>
        <v>460.26186000000001</v>
      </c>
      <c r="J42" s="59">
        <v>42</v>
      </c>
      <c r="K42" s="24"/>
    </row>
    <row r="43" spans="1:11" x14ac:dyDescent="0.15">
      <c r="B43" t="s">
        <v>10</v>
      </c>
      <c r="C43" s="24">
        <v>32</v>
      </c>
      <c r="D43" s="64">
        <v>1804</v>
      </c>
      <c r="E43" s="40">
        <f>表9_1516171824293031323334354041426185512212917618377787980[[#This Row],[Bytes_Count/Frame]]*8*30/1024/1024</f>
        <v>0.41290283203125</v>
      </c>
      <c r="F43" s="65">
        <v>14450688</v>
      </c>
      <c r="G43" s="27">
        <f>表9_1516171824293031323334354041426185512212917618377787980[[#This Row],[Core Cycle
'#/Frame]]*30/1000/1000</f>
        <v>433.52064000000001</v>
      </c>
      <c r="H43" s="59">
        <v>15010122</v>
      </c>
      <c r="I43" s="60">
        <f>表9_1516171824293031323334354041426185512212917618377787980[[#This Row],[Cpu Cycle 
'#/Frame]]*30/1000/1000</f>
        <v>450.30365999999998</v>
      </c>
      <c r="J43" s="59">
        <v>54</v>
      </c>
      <c r="K43" s="24"/>
    </row>
    <row r="44" spans="1:11" x14ac:dyDescent="0.15">
      <c r="B44" t="s">
        <v>272</v>
      </c>
      <c r="C44" s="24">
        <v>30</v>
      </c>
      <c r="D44" s="64">
        <v>94479</v>
      </c>
      <c r="E44" s="40">
        <f>表9_1516171824293031323334354041426185512212917618377787980[[#This Row],[Bytes_Count/Frame]]*8*30/1024/1024</f>
        <v>21.624526977539063</v>
      </c>
      <c r="F44" s="65">
        <v>13336576</v>
      </c>
      <c r="G44" s="27">
        <f>表9_1516171824293031323334354041426185512212917618377787980[[#This Row],[Core Cycle
'#/Frame]]*30/1000/1000</f>
        <v>400.09728000000001</v>
      </c>
      <c r="H44" s="59">
        <v>13885010</v>
      </c>
      <c r="I44" s="60">
        <f>表9_1516171824293031323334354041426185512212917618377787980[[#This Row],[Cpu Cycle 
'#/Frame]]*30/1000/1000</f>
        <v>416.55029999999999</v>
      </c>
      <c r="J44" s="59">
        <v>28</v>
      </c>
      <c r="K44" s="24"/>
    </row>
    <row r="45" spans="1:11" x14ac:dyDescent="0.15">
      <c r="B45" t="s">
        <v>10</v>
      </c>
      <c r="C45" s="24">
        <v>32</v>
      </c>
      <c r="D45" s="64">
        <v>1880</v>
      </c>
      <c r="E45" s="40">
        <f>表9_1516171824293031323334354041426185512212917618377787980[[#This Row],[Bytes_Count/Frame]]*8*30/1024/1024</f>
        <v>0.4302978515625</v>
      </c>
      <c r="F45" s="65">
        <v>13664256</v>
      </c>
      <c r="G45" s="27">
        <f>表9_1516171824293031323334354041426185512212917618377787980[[#This Row],[Core Cycle
'#/Frame]]*30/1000/1000</f>
        <v>409.92768000000001</v>
      </c>
      <c r="H45" s="59">
        <v>14235682</v>
      </c>
      <c r="I45" s="60">
        <f>表9_1516171824293031323334354041426185512212917618377787980[[#This Row],[Cpu Cycle 
'#/Frame]]*30/1000/1000</f>
        <v>427.07046000000003</v>
      </c>
      <c r="J45" s="59">
        <v>54</v>
      </c>
      <c r="K45" s="24"/>
    </row>
    <row r="46" spans="1:11" x14ac:dyDescent="0.15">
      <c r="B46" t="s">
        <v>9</v>
      </c>
      <c r="C46" s="24">
        <v>31</v>
      </c>
      <c r="D46" s="64">
        <v>12338</v>
      </c>
      <c r="E46" s="40">
        <f>表9_1516171824293031323334354041426185512212917618377787980[[#This Row],[Bytes_Count/Frame]]*8*30/1024/1024</f>
        <v>2.823944091796875</v>
      </c>
      <c r="F46" s="65">
        <v>13959168</v>
      </c>
      <c r="G46" s="27">
        <f>表9_1516171824293031323334354041426185512212917618377787980[[#This Row],[Core Cycle
'#/Frame]]*30/1000/1000</f>
        <v>418.77503999999999</v>
      </c>
      <c r="H46" s="59">
        <v>14510338</v>
      </c>
      <c r="I46" s="60">
        <f>表9_1516171824293031323334354041426185512212917618377787980[[#This Row],[Cpu Cycle 
'#/Frame]]*30/1000/1000</f>
        <v>435.31013999999999</v>
      </c>
      <c r="J46" s="59">
        <v>42</v>
      </c>
      <c r="K46" s="24"/>
    </row>
    <row r="47" spans="1:11" x14ac:dyDescent="0.15">
      <c r="B47" t="s">
        <v>273</v>
      </c>
      <c r="C47" s="24">
        <v>32</v>
      </c>
      <c r="D47" s="64">
        <v>1966</v>
      </c>
      <c r="E47" s="40">
        <f>表9_1516171824293031323334354041426185512212917618377787980[[#This Row],[Bytes_Count/Frame]]*8*30/1024/1024</f>
        <v>0.449981689453125</v>
      </c>
      <c r="F47" s="65">
        <v>13926400</v>
      </c>
      <c r="G47" s="27">
        <f>表9_1516171824293031323334354041426185512212917618377787980[[#This Row],[Core Cycle
'#/Frame]]*30/1000/1000</f>
        <v>417.79199999999997</v>
      </c>
      <c r="H47" s="59">
        <v>14470394</v>
      </c>
      <c r="I47" s="60">
        <f>表9_1516171824293031323334354041426185512212917618377787980[[#This Row],[Cpu Cycle 
'#/Frame]]*30/1000/1000</f>
        <v>434.11182000000002</v>
      </c>
      <c r="J47" s="59">
        <v>54</v>
      </c>
      <c r="K47" s="24"/>
    </row>
    <row r="48" spans="1:11" x14ac:dyDescent="0.15">
      <c r="B48" t="s">
        <v>272</v>
      </c>
      <c r="C48" s="24">
        <v>30</v>
      </c>
      <c r="D48" s="64">
        <v>94383</v>
      </c>
      <c r="E48" s="40">
        <f>表9_1516171824293031323334354041426185512212917618377787980[[#This Row],[Bytes_Count/Frame]]*8*30/1024/1024</f>
        <v>21.602554321289063</v>
      </c>
      <c r="F48" s="65">
        <v>13303808</v>
      </c>
      <c r="G48" s="27">
        <f>表9_1516171824293031323334354041426185512212917618377787980[[#This Row],[Core Cycle
'#/Frame]]*30/1000/1000</f>
        <v>399.11424</v>
      </c>
      <c r="H48" s="59">
        <v>13884058</v>
      </c>
      <c r="I48" s="60">
        <f>表9_1516171824293031323334354041426185512212917618377787980[[#This Row],[Cpu Cycle 
'#/Frame]]*30/1000/1000</f>
        <v>416.52173999999997</v>
      </c>
      <c r="J48" s="59">
        <v>28</v>
      </c>
      <c r="K48" s="24"/>
    </row>
    <row r="49" spans="1:11" x14ac:dyDescent="0.15">
      <c r="B49" t="s">
        <v>273</v>
      </c>
      <c r="C49" s="24">
        <v>32</v>
      </c>
      <c r="D49" s="64">
        <v>2217</v>
      </c>
      <c r="E49" s="40">
        <f>表9_1516171824293031323334354041426185512212917618377787980[[#This Row],[Bytes_Count/Frame]]*8*30/1024/1024</f>
        <v>0.5074310302734375</v>
      </c>
      <c r="F49" s="65">
        <v>13500416</v>
      </c>
      <c r="G49" s="27">
        <f>表9_1516171824293031323334354041426185512212917618377787980[[#This Row],[Core Cycle
'#/Frame]]*30/1000/1000</f>
        <v>405.01247999999998</v>
      </c>
      <c r="H49" s="59">
        <v>14057066</v>
      </c>
      <c r="I49" s="60">
        <f>表9_1516171824293031323334354041426185512212917618377787980[[#This Row],[Cpu Cycle 
'#/Frame]]*30/1000/1000</f>
        <v>421.71197999999998</v>
      </c>
      <c r="J49" s="59">
        <v>54</v>
      </c>
      <c r="K49" s="24"/>
    </row>
    <row r="50" spans="1:11" x14ac:dyDescent="0.15">
      <c r="B50" t="s">
        <v>300</v>
      </c>
      <c r="C50" s="24">
        <v>32</v>
      </c>
      <c r="D50" s="64">
        <v>16042</v>
      </c>
      <c r="E50" s="40">
        <f>表9_1516171824293031323334354041426185512212917618377787980[[#This Row],[Bytes_Count/Frame]]*8*30/1024/1024</f>
        <v>3.671722412109375</v>
      </c>
      <c r="F50" s="65">
        <v>14647296</v>
      </c>
      <c r="G50" s="27">
        <f>表9_1516171824293031323334354041426185512212917618377787980[[#This Row],[Core Cycle
'#/Frame]]*30/1000/1000</f>
        <v>439.41888</v>
      </c>
      <c r="H50" s="59">
        <v>15251758</v>
      </c>
      <c r="I50" s="60">
        <f>表9_1516171824293031323334354041426185512212917618377787980[[#This Row],[Cpu Cycle 
'#/Frame]]*30/1000/1000</f>
        <v>457.55273999999997</v>
      </c>
      <c r="J50" s="59">
        <v>42</v>
      </c>
      <c r="K50" s="24"/>
    </row>
    <row r="52" spans="1:11" ht="27" x14ac:dyDescent="0.15">
      <c r="A52" s="1" t="s">
        <v>1</v>
      </c>
      <c r="B52" s="1" t="s">
        <v>2</v>
      </c>
      <c r="C52" s="25" t="s">
        <v>158</v>
      </c>
      <c r="D52" s="25" t="s">
        <v>287</v>
      </c>
      <c r="E52" s="25" t="s">
        <v>276</v>
      </c>
      <c r="F52" s="57" t="s">
        <v>277</v>
      </c>
      <c r="G52" s="58" t="s">
        <v>278</v>
      </c>
      <c r="H52" s="57" t="s">
        <v>279</v>
      </c>
      <c r="I52" s="58" t="s">
        <v>290</v>
      </c>
      <c r="J52" s="56" t="s">
        <v>280</v>
      </c>
      <c r="K52" s="25" t="s">
        <v>159</v>
      </c>
    </row>
    <row r="53" spans="1:11" x14ac:dyDescent="0.15">
      <c r="A53" t="s">
        <v>284</v>
      </c>
      <c r="B53" t="s">
        <v>0</v>
      </c>
      <c r="C53" s="24">
        <v>30</v>
      </c>
      <c r="D53" s="66">
        <v>75394</v>
      </c>
      <c r="E53" s="40">
        <f>表9_151617182429303132333435404142618551221291761837778798081[[#This Row],[Bytes_Count/Frame]]*8*30/1024/1024</f>
        <v>17.256317138671875</v>
      </c>
      <c r="F53" s="67">
        <v>13271040</v>
      </c>
      <c r="G53" s="27">
        <f>表9_151617182429303132333435404142618551221291761837778798081[[#This Row],[Core Cycle
'#/Frame]]*30/1000/1000</f>
        <v>398.13120000000004</v>
      </c>
      <c r="H53" s="59">
        <v>13824682</v>
      </c>
      <c r="I53" s="27">
        <f>表9_151617182429303132333435404142618551221291761837778798081[[#This Row],[Cpu Cycle 
'#/Frame]]*30/1000/1000</f>
        <v>414.74046000000004</v>
      </c>
      <c r="J53" s="59">
        <v>28</v>
      </c>
      <c r="K53" s="24"/>
    </row>
    <row r="54" spans="1:11" x14ac:dyDescent="0.15">
      <c r="B54" t="s">
        <v>9</v>
      </c>
      <c r="C54" s="24">
        <v>31</v>
      </c>
      <c r="D54" s="66">
        <v>9940</v>
      </c>
      <c r="E54" s="40">
        <f>表9_151617182429303132333435404142618551221291761837778798081[[#This Row],[Bytes_Count/Frame]]*8*30/1024/1024</f>
        <v>2.27508544921875</v>
      </c>
      <c r="F54" s="67">
        <v>14483456</v>
      </c>
      <c r="G54" s="27">
        <f>表9_151617182429303132333435404142618551221291761837778798081[[#This Row],[Core Cycle
'#/Frame]]*30/1000/1000</f>
        <v>434.50367999999997</v>
      </c>
      <c r="H54" s="59">
        <v>15055146</v>
      </c>
      <c r="I54" s="60">
        <f>表9_151617182429303132333435404142618551221291761837778798081[[#This Row],[Cpu Cycle 
'#/Frame]]*30/1000/1000</f>
        <v>451.65438</v>
      </c>
      <c r="J54" s="59">
        <v>41</v>
      </c>
      <c r="K54" s="24"/>
    </row>
    <row r="55" spans="1:11" x14ac:dyDescent="0.15">
      <c r="B55" t="s">
        <v>10</v>
      </c>
      <c r="C55" s="24">
        <v>32</v>
      </c>
      <c r="D55" s="66">
        <v>1621</v>
      </c>
      <c r="E55" s="40">
        <f>表9_151617182429303132333435404142618551221291761837778798081[[#This Row],[Bytes_Count/Frame]]*8*30/1024/1024</f>
        <v>0.3710174560546875</v>
      </c>
      <c r="F55" s="67">
        <v>14188544</v>
      </c>
      <c r="G55" s="27">
        <f>表9_151617182429303132333435404142618551221291761837778798081[[#This Row],[Core Cycle
'#/Frame]]*30/1000/1000</f>
        <v>425.65631999999999</v>
      </c>
      <c r="H55" s="59">
        <v>14752182</v>
      </c>
      <c r="I55" s="60">
        <f>表9_151617182429303132333435404142618551221291761837778798081[[#This Row],[Cpu Cycle 
'#/Frame]]*30/1000/1000</f>
        <v>442.56546000000003</v>
      </c>
      <c r="J55" s="59">
        <v>54</v>
      </c>
      <c r="K55" s="24"/>
    </row>
    <row r="56" spans="1:11" x14ac:dyDescent="0.15">
      <c r="B56" t="s">
        <v>272</v>
      </c>
      <c r="C56" s="24">
        <v>30</v>
      </c>
      <c r="D56" s="66">
        <v>75457</v>
      </c>
      <c r="E56" s="40">
        <f>表9_151617182429303132333435404142618551221291761837778798081[[#This Row],[Bytes_Count/Frame]]*8*30/1024/1024</f>
        <v>17.270736694335937</v>
      </c>
      <c r="F56" s="67">
        <v>13271040</v>
      </c>
      <c r="G56" s="27">
        <f>表9_151617182429303132333435404142618551221291761837778798081[[#This Row],[Core Cycle
'#/Frame]]*30/1000/1000</f>
        <v>398.13120000000004</v>
      </c>
      <c r="H56" s="59">
        <v>13828562</v>
      </c>
      <c r="I56" s="60">
        <f>表9_151617182429303132333435404142618551221291761837778798081[[#This Row],[Cpu Cycle 
'#/Frame]]*30/1000/1000</f>
        <v>414.85685999999998</v>
      </c>
      <c r="J56" s="59">
        <v>28</v>
      </c>
      <c r="K56" s="24"/>
    </row>
    <row r="57" spans="1:11" x14ac:dyDescent="0.15">
      <c r="B57" t="s">
        <v>10</v>
      </c>
      <c r="C57" s="24">
        <v>32</v>
      </c>
      <c r="D57" s="66">
        <v>1608</v>
      </c>
      <c r="E57" s="40">
        <f>表9_151617182429303132333435404142618551221291761837778798081[[#This Row],[Bytes_Count/Frame]]*8*30/1024/1024</f>
        <v>0.3680419921875</v>
      </c>
      <c r="F57" s="67">
        <v>13533184</v>
      </c>
      <c r="G57" s="27">
        <f>表9_151617182429303132333435404142618551221291761837778798081[[#This Row],[Core Cycle
'#/Frame]]*30/1000/1000</f>
        <v>405.99552</v>
      </c>
      <c r="H57" s="59">
        <v>14083842</v>
      </c>
      <c r="I57" s="60">
        <f>表9_151617182429303132333435404142618551221291761837778798081[[#This Row],[Cpu Cycle 
'#/Frame]]*30/1000/1000</f>
        <v>422.51526000000001</v>
      </c>
      <c r="J57" s="59">
        <v>53</v>
      </c>
      <c r="K57" s="24"/>
    </row>
    <row r="58" spans="1:11" x14ac:dyDescent="0.15">
      <c r="B58" t="s">
        <v>9</v>
      </c>
      <c r="C58" s="24">
        <v>31</v>
      </c>
      <c r="D58" s="66">
        <v>10783</v>
      </c>
      <c r="E58" s="40">
        <f>表9_151617182429303132333435404142618551221291761837778798081[[#This Row],[Bytes_Count/Frame]]*8*30/1024/1024</f>
        <v>2.4680328369140625</v>
      </c>
      <c r="F58" s="67">
        <v>14024704</v>
      </c>
      <c r="G58" s="27">
        <f>表9_151617182429303132333435404142618551221291761837778798081[[#This Row],[Core Cycle
'#/Frame]]*30/1000/1000</f>
        <v>420.74112000000002</v>
      </c>
      <c r="H58" s="59">
        <v>14581794</v>
      </c>
      <c r="I58" s="60">
        <f>表9_151617182429303132333435404142618551221291761837778798081[[#This Row],[Cpu Cycle 
'#/Frame]]*30/1000/1000</f>
        <v>437.45382000000001</v>
      </c>
      <c r="J58" s="59">
        <v>41</v>
      </c>
      <c r="K58" s="24"/>
    </row>
    <row r="59" spans="1:11" x14ac:dyDescent="0.15">
      <c r="B59" t="s">
        <v>273</v>
      </c>
      <c r="C59" s="24">
        <v>32</v>
      </c>
      <c r="D59" s="66">
        <v>1566</v>
      </c>
      <c r="E59" s="40">
        <f>表9_151617182429303132333435404142618551221291761837778798081[[#This Row],[Bytes_Count/Frame]]*8*30/1024/1024</f>
        <v>0.358428955078125</v>
      </c>
      <c r="F59" s="67">
        <v>14319616</v>
      </c>
      <c r="G59" s="27">
        <f>表9_151617182429303132333435404142618551221291761837778798081[[#This Row],[Core Cycle
'#/Frame]]*30/1000/1000</f>
        <v>429.58848</v>
      </c>
      <c r="H59" s="59">
        <v>14895094</v>
      </c>
      <c r="I59" s="60">
        <f>表9_151617182429303132333435404142618551221291761837778798081[[#This Row],[Cpu Cycle 
'#/Frame]]*30/1000/1000</f>
        <v>446.85282000000001</v>
      </c>
      <c r="J59" s="59">
        <v>54</v>
      </c>
      <c r="K59" s="24"/>
    </row>
    <row r="60" spans="1:11" x14ac:dyDescent="0.15">
      <c r="B60" t="s">
        <v>272</v>
      </c>
      <c r="C60" s="24">
        <v>30</v>
      </c>
      <c r="D60" s="66">
        <v>74764</v>
      </c>
      <c r="E60" s="40">
        <f>表9_151617182429303132333435404142618551221291761837778798081[[#This Row],[Bytes_Count/Frame]]*8*30/1024/1024</f>
        <v>17.11212158203125</v>
      </c>
      <c r="F60" s="67">
        <v>13271040</v>
      </c>
      <c r="G60" s="27">
        <f>表9_151617182429303132333435404142618551221291761837778798081[[#This Row],[Core Cycle
'#/Frame]]*30/1000/1000</f>
        <v>398.13120000000004</v>
      </c>
      <c r="H60" s="59">
        <v>13837490</v>
      </c>
      <c r="I60" s="60">
        <f>表9_151617182429303132333435404142618551221291761837778798081[[#This Row],[Cpu Cycle 
'#/Frame]]*30/1000/1000</f>
        <v>415.12470000000002</v>
      </c>
      <c r="J60" s="59">
        <v>28</v>
      </c>
      <c r="K60" s="24"/>
    </row>
    <row r="61" spans="1:11" x14ac:dyDescent="0.15">
      <c r="B61" t="s">
        <v>273</v>
      </c>
      <c r="C61" s="24">
        <v>32</v>
      </c>
      <c r="D61" s="66">
        <v>1702</v>
      </c>
      <c r="E61" s="40">
        <f>表9_151617182429303132333435404142618551221291761837778798081[[#This Row],[Bytes_Count/Frame]]*8*30/1024/1024</f>
        <v>0.389556884765625</v>
      </c>
      <c r="F61" s="67">
        <v>13598720</v>
      </c>
      <c r="G61" s="27">
        <f>表9_151617182429303132333435404142618551221291761837778798081[[#This Row],[Core Cycle
'#/Frame]]*30/1000/1000</f>
        <v>407.96159999999998</v>
      </c>
      <c r="H61" s="59">
        <v>14161718</v>
      </c>
      <c r="I61" s="60">
        <f>表9_151617182429303132333435404142618551221291761837778798081[[#This Row],[Cpu Cycle 
'#/Frame]]*30/1000/1000</f>
        <v>424.85154</v>
      </c>
      <c r="J61" s="59">
        <v>53</v>
      </c>
      <c r="K61" s="24"/>
    </row>
    <row r="62" spans="1:11" x14ac:dyDescent="0.15">
      <c r="B62" t="s">
        <v>300</v>
      </c>
      <c r="C62" s="24">
        <v>31</v>
      </c>
      <c r="D62" s="66">
        <v>14038</v>
      </c>
      <c r="E62" s="40">
        <f>表9_151617182429303132333435404142618551221291761837778798081[[#This Row],[Bytes_Count/Frame]]*8*30/1024/1024</f>
        <v>3.213043212890625</v>
      </c>
      <c r="F62" s="67">
        <v>14548992</v>
      </c>
      <c r="G62" s="27">
        <f>表9_151617182429303132333435404142618551221291761837778798081[[#This Row],[Core Cycle
'#/Frame]]*30/1000/1000</f>
        <v>436.46976000000001</v>
      </c>
      <c r="H62" s="59">
        <v>15135638</v>
      </c>
      <c r="I62" s="60">
        <f>表9_151617182429303132333435404142618551221291761837778798081[[#This Row],[Cpu Cycle 
'#/Frame]]*30/1000/1000</f>
        <v>454.06914</v>
      </c>
      <c r="J62" s="59">
        <v>41</v>
      </c>
      <c r="K62" s="24"/>
    </row>
    <row r="64" spans="1:11" ht="27" x14ac:dyDescent="0.15">
      <c r="A64" s="1" t="s">
        <v>1</v>
      </c>
      <c r="B64" s="1" t="s">
        <v>2</v>
      </c>
      <c r="C64" s="25" t="s">
        <v>158</v>
      </c>
      <c r="D64" s="25" t="s">
        <v>287</v>
      </c>
      <c r="E64" s="25" t="s">
        <v>276</v>
      </c>
      <c r="F64" s="57" t="s">
        <v>277</v>
      </c>
      <c r="G64" s="58" t="s">
        <v>278</v>
      </c>
      <c r="H64" s="57" t="s">
        <v>279</v>
      </c>
      <c r="I64" s="58" t="s">
        <v>290</v>
      </c>
      <c r="J64" s="56" t="s">
        <v>280</v>
      </c>
      <c r="K64" s="25" t="s">
        <v>159</v>
      </c>
    </row>
    <row r="65" spans="1:11" x14ac:dyDescent="0.15">
      <c r="A65" t="s">
        <v>282</v>
      </c>
      <c r="B65" t="s">
        <v>0</v>
      </c>
      <c r="C65" s="24">
        <v>30</v>
      </c>
      <c r="D65" s="68">
        <v>67466</v>
      </c>
      <c r="E65" s="40">
        <f>表9_15161718242930313233343540414261855122129176183777879808182[[#This Row],[Bytes_Count/Frame]]*8*30/1024/1024</f>
        <v>15.441741943359375</v>
      </c>
      <c r="F65" s="69">
        <v>13238272</v>
      </c>
      <c r="G65" s="27">
        <f>表9_15161718242930313233343540414261855122129176183777879808182[[#This Row],[Core Cycle
'#/Frame]]*30/1000/1000</f>
        <v>397.14815999999996</v>
      </c>
      <c r="H65" s="59">
        <v>13808722</v>
      </c>
      <c r="I65" s="27">
        <f>表9_15161718242930313233343540414261855122129176183777879808182[[#This Row],[Cpu Cycle 
'#/Frame]]*30/1000/1000</f>
        <v>414.26165999999995</v>
      </c>
      <c r="J65" s="59">
        <v>28</v>
      </c>
      <c r="K65" s="24"/>
    </row>
    <row r="66" spans="1:11" x14ac:dyDescent="0.15">
      <c r="B66" t="s">
        <v>9</v>
      </c>
      <c r="C66" s="24">
        <v>31</v>
      </c>
      <c r="D66" s="68">
        <v>10525</v>
      </c>
      <c r="E66" s="40">
        <f>表9_15161718242930313233343540414261855122129176183777879808182[[#This Row],[Bytes_Count/Frame]]*8*30/1024/1024</f>
        <v>2.4089813232421875</v>
      </c>
      <c r="F66" s="69">
        <v>14647296</v>
      </c>
      <c r="G66" s="27">
        <f>表9_15161718242930313233343540414261855122129176183777879808182[[#This Row],[Core Cycle
'#/Frame]]*30/1000/1000</f>
        <v>439.41888</v>
      </c>
      <c r="H66" s="59">
        <v>15198058</v>
      </c>
      <c r="I66" s="60">
        <f>表9_15161718242930313233343540414261855122129176183777879808182[[#This Row],[Cpu Cycle 
'#/Frame]]*30/1000/1000</f>
        <v>455.94173999999998</v>
      </c>
      <c r="J66" s="59">
        <v>41</v>
      </c>
      <c r="K66" s="24"/>
    </row>
    <row r="67" spans="1:11" x14ac:dyDescent="0.15">
      <c r="B67" t="s">
        <v>10</v>
      </c>
      <c r="C67" s="24">
        <v>32</v>
      </c>
      <c r="D67" s="68">
        <v>1749</v>
      </c>
      <c r="E67" s="40">
        <f>表9_15161718242930313233343540414261855122129176183777879808182[[#This Row],[Bytes_Count/Frame]]*8*30/1024/1024</f>
        <v>0.4003143310546875</v>
      </c>
      <c r="F67" s="69">
        <v>14581760</v>
      </c>
      <c r="G67" s="27">
        <f>表9_15161718242930313233343540414261855122129176183777879808182[[#This Row],[Core Cycle
'#/Frame]]*30/1000/1000</f>
        <v>437.45279999999997</v>
      </c>
      <c r="H67" s="59">
        <v>15160058</v>
      </c>
      <c r="I67" s="60">
        <f>表9_15161718242930313233343540414261855122129176183777879808182[[#This Row],[Cpu Cycle 
'#/Frame]]*30/1000/1000</f>
        <v>454.80174</v>
      </c>
      <c r="J67" s="59">
        <v>53</v>
      </c>
      <c r="K67" s="24"/>
    </row>
    <row r="68" spans="1:11" x14ac:dyDescent="0.15">
      <c r="B68" t="s">
        <v>272</v>
      </c>
      <c r="C68" s="24">
        <v>30</v>
      </c>
      <c r="D68" s="68">
        <v>67241</v>
      </c>
      <c r="E68" s="40">
        <f>表9_15161718242930313233343540414261855122129176183777879808182[[#This Row],[Bytes_Count/Frame]]*8*30/1024/1024</f>
        <v>15.390243530273438</v>
      </c>
      <c r="F68" s="69">
        <v>13238272</v>
      </c>
      <c r="G68" s="27">
        <f>表9_15161718242930313233343540414261855122129176183777879808182[[#This Row],[Core Cycle
'#/Frame]]*30/1000/1000</f>
        <v>397.14815999999996</v>
      </c>
      <c r="H68" s="59">
        <v>13794738</v>
      </c>
      <c r="I68" s="60">
        <f>表9_15161718242930313233343540414261855122129176183777879808182[[#This Row],[Cpu Cycle 
'#/Frame]]*30/1000/1000</f>
        <v>413.84214000000003</v>
      </c>
      <c r="J68" s="59">
        <v>28</v>
      </c>
      <c r="K68" s="24"/>
    </row>
    <row r="69" spans="1:11" x14ac:dyDescent="0.15">
      <c r="B69" t="s">
        <v>10</v>
      </c>
      <c r="C69" s="24">
        <v>32</v>
      </c>
      <c r="D69" s="68">
        <v>1826</v>
      </c>
      <c r="E69" s="40">
        <f>表9_15161718242930313233343540414261855122129176183777879808182[[#This Row],[Bytes_Count/Frame]]*8*30/1024/1024</f>
        <v>0.417938232421875</v>
      </c>
      <c r="F69" s="69">
        <v>13893632</v>
      </c>
      <c r="G69" s="27">
        <f>表9_15161718242930313233343540414261855122129176183777879808182[[#This Row],[Core Cycle
'#/Frame]]*30/1000/1000</f>
        <v>416.80896000000001</v>
      </c>
      <c r="H69" s="59">
        <v>14440030</v>
      </c>
      <c r="I69" s="60">
        <f>表9_15161718242930313233343540414261855122129176183777879808182[[#This Row],[Cpu Cycle 
'#/Frame]]*30/1000/1000</f>
        <v>433.20090000000005</v>
      </c>
      <c r="J69" s="59">
        <v>53</v>
      </c>
      <c r="K69" s="24"/>
    </row>
    <row r="70" spans="1:11" x14ac:dyDescent="0.15">
      <c r="B70" t="s">
        <v>9</v>
      </c>
      <c r="C70" s="24">
        <v>31</v>
      </c>
      <c r="D70" s="68">
        <v>11118</v>
      </c>
      <c r="E70" s="40">
        <f>表9_15161718242930313233343540414261855122129176183777879808182[[#This Row],[Bytes_Count/Frame]]*8*30/1024/1024</f>
        <v>2.544708251953125</v>
      </c>
      <c r="F70" s="69">
        <v>14581760</v>
      </c>
      <c r="G70" s="27">
        <f>表9_15161718242930313233343540414261855122129176183777879808182[[#This Row],[Core Cycle
'#/Frame]]*30/1000/1000</f>
        <v>437.45279999999997</v>
      </c>
      <c r="H70" s="59">
        <v>15133674</v>
      </c>
      <c r="I70" s="60">
        <f>表9_15161718242930313233343540414261855122129176183777879808182[[#This Row],[Cpu Cycle 
'#/Frame]]*30/1000/1000</f>
        <v>454.01021999999995</v>
      </c>
      <c r="J70" s="59">
        <v>41</v>
      </c>
      <c r="K70" s="24"/>
    </row>
    <row r="71" spans="1:11" x14ac:dyDescent="0.15">
      <c r="B71" t="s">
        <v>273</v>
      </c>
      <c r="C71" s="24">
        <v>32</v>
      </c>
      <c r="D71" s="68">
        <v>1742</v>
      </c>
      <c r="E71" s="40">
        <f>表9_15161718242930313233343540414261855122129176183777879808182[[#This Row],[Bytes_Count/Frame]]*8*30/1024/1024</f>
        <v>0.398712158203125</v>
      </c>
      <c r="F71" s="69">
        <v>14712832</v>
      </c>
      <c r="G71" s="27">
        <f>表9_15161718242930313233343540414261855122129176183777879808182[[#This Row],[Core Cycle
'#/Frame]]*30/1000/1000</f>
        <v>441.38496000000004</v>
      </c>
      <c r="H71" s="59">
        <v>15287010</v>
      </c>
      <c r="I71" s="60">
        <f>表9_15161718242930313233343540414261855122129176183777879808182[[#This Row],[Cpu Cycle 
'#/Frame]]*30/1000/1000</f>
        <v>458.6103</v>
      </c>
      <c r="J71" s="59">
        <v>54</v>
      </c>
      <c r="K71" s="24"/>
    </row>
    <row r="72" spans="1:11" x14ac:dyDescent="0.15">
      <c r="B72" t="s">
        <v>272</v>
      </c>
      <c r="C72" s="24">
        <v>30</v>
      </c>
      <c r="D72" s="68">
        <v>67224</v>
      </c>
      <c r="E72" s="40">
        <f>表9_15161718242930313233343540414261855122129176183777879808182[[#This Row],[Bytes_Count/Frame]]*8*30/1024/1024</f>
        <v>15.3863525390625</v>
      </c>
      <c r="F72" s="69">
        <v>13238272</v>
      </c>
      <c r="G72" s="27">
        <f>表9_15161718242930313233343540414261855122129176183777879808182[[#This Row],[Core Cycle
'#/Frame]]*30/1000/1000</f>
        <v>397.14815999999996</v>
      </c>
      <c r="H72" s="59">
        <v>13803666</v>
      </c>
      <c r="I72" s="60">
        <f>表9_15161718242930313233343540414261855122129176183777879808182[[#This Row],[Cpu Cycle 
'#/Frame]]*30/1000/1000</f>
        <v>414.10998000000001</v>
      </c>
      <c r="J72" s="59">
        <v>28</v>
      </c>
      <c r="K72" s="24"/>
    </row>
    <row r="73" spans="1:11" x14ac:dyDescent="0.15">
      <c r="B73" t="s">
        <v>273</v>
      </c>
      <c r="C73" s="24">
        <v>32</v>
      </c>
      <c r="D73" s="68">
        <v>1853</v>
      </c>
      <c r="E73" s="40">
        <f>表9_15161718242930313233343540414261855122129176183777879808182[[#This Row],[Bytes_Count/Frame]]*8*30/1024/1024</f>
        <v>0.4241180419921875</v>
      </c>
      <c r="F73" s="69">
        <v>13795328</v>
      </c>
      <c r="G73" s="27">
        <f>表9_15161718242930313233343540414261855122129176183777879808182[[#This Row],[Core Cycle
'#/Frame]]*30/1000/1000</f>
        <v>413.85984000000002</v>
      </c>
      <c r="H73" s="59">
        <v>14368590</v>
      </c>
      <c r="I73" s="60">
        <f>表9_15161718242930313233343540414261855122129176183777879808182[[#This Row],[Cpu Cycle 
'#/Frame]]*30/1000/1000</f>
        <v>431.05770000000001</v>
      </c>
      <c r="J73" s="59">
        <v>53</v>
      </c>
      <c r="K73" s="24"/>
    </row>
    <row r="74" spans="1:11" x14ac:dyDescent="0.15">
      <c r="B74" t="s">
        <v>300</v>
      </c>
      <c r="C74" s="24">
        <v>31</v>
      </c>
      <c r="D74" s="68">
        <v>14064</v>
      </c>
      <c r="E74" s="40">
        <f>表9_15161718242930313233343540414261855122129176183777879808182[[#This Row],[Bytes_Count/Frame]]*8*30/1024/1024</f>
        <v>3.218994140625</v>
      </c>
      <c r="F74" s="69">
        <v>14942208</v>
      </c>
      <c r="G74" s="27">
        <f>表9_15161718242930313233343540414261855122129176183777879808182[[#This Row],[Core Cycle
'#/Frame]]*30/1000/1000</f>
        <v>448.26623999999998</v>
      </c>
      <c r="H74" s="59">
        <v>15547602</v>
      </c>
      <c r="I74" s="60">
        <f>表9_15161718242930313233343540414261855122129176183777879808182[[#This Row],[Cpu Cycle 
'#/Frame]]*30/1000/1000</f>
        <v>466.42806000000002</v>
      </c>
      <c r="J74" s="59">
        <v>42</v>
      </c>
      <c r="K74" s="24"/>
    </row>
    <row r="76" spans="1:11" ht="27" x14ac:dyDescent="0.15">
      <c r="A76" s="1" t="s">
        <v>1</v>
      </c>
      <c r="B76" s="1" t="s">
        <v>2</v>
      </c>
      <c r="C76" s="25" t="s">
        <v>158</v>
      </c>
      <c r="D76" s="25" t="s">
        <v>287</v>
      </c>
      <c r="E76" s="25" t="s">
        <v>276</v>
      </c>
      <c r="F76" s="57" t="s">
        <v>277</v>
      </c>
      <c r="G76" s="58" t="s">
        <v>278</v>
      </c>
      <c r="H76" s="57" t="s">
        <v>279</v>
      </c>
      <c r="I76" s="58" t="s">
        <v>290</v>
      </c>
      <c r="J76" s="56" t="s">
        <v>280</v>
      </c>
      <c r="K76" s="25" t="s">
        <v>159</v>
      </c>
    </row>
    <row r="77" spans="1:11" x14ac:dyDescent="0.15">
      <c r="A77" t="s">
        <v>285</v>
      </c>
      <c r="B77" t="s">
        <v>0</v>
      </c>
      <c r="C77" s="24">
        <v>30</v>
      </c>
      <c r="D77" s="70">
        <v>168042</v>
      </c>
      <c r="E77" s="40">
        <f>表9_1516171824293031323334354041426185512212917618377787980818283[[#This Row],[Bytes_Count/Frame]]*8*30/1024/1024</f>
        <v>38.461761474609375</v>
      </c>
      <c r="F77" s="71">
        <v>12386304</v>
      </c>
      <c r="G77" s="27">
        <f>表9_1516171824293031323334354041426185512212917618377787980818283[[#This Row],[Core Cycle
'#/Frame]]*30/1000/1000</f>
        <v>371.58911999999998</v>
      </c>
      <c r="H77" s="59">
        <v>12953462</v>
      </c>
      <c r="I77" s="27">
        <f>表9_1516171824293031323334354041426185512212917618377787980818283[[#This Row],[Cpu Cycle 
'#/Frame]]*30/1000/1000</f>
        <v>388.60386</v>
      </c>
      <c r="J77" s="59">
        <v>27</v>
      </c>
      <c r="K77" s="24"/>
    </row>
    <row r="78" spans="1:11" x14ac:dyDescent="0.15">
      <c r="B78" t="s">
        <v>9</v>
      </c>
      <c r="C78" s="24">
        <v>31</v>
      </c>
      <c r="D78" s="70">
        <v>59594</v>
      </c>
      <c r="E78" s="40">
        <f>表9_1516171824293031323334354041426185512212917618377787980818283[[#This Row],[Bytes_Count/Frame]]*8*30/1024/1024</f>
        <v>13.639984130859375</v>
      </c>
      <c r="F78" s="71">
        <v>12812288</v>
      </c>
      <c r="G78" s="27">
        <f>表9_1516171824293031323334354041426185512212917618377787980818283[[#This Row],[Core Cycle
'#/Frame]]*30/1000/1000</f>
        <v>384.36864000000003</v>
      </c>
      <c r="H78" s="59">
        <v>13387074</v>
      </c>
      <c r="I78" s="60">
        <f>表9_1516171824293031323334354041426185512212917618377787980818283[[#This Row],[Cpu Cycle 
'#/Frame]]*30/1000/1000</f>
        <v>401.61221999999998</v>
      </c>
      <c r="J78" s="59">
        <v>44</v>
      </c>
      <c r="K78" s="24"/>
    </row>
    <row r="79" spans="1:11" x14ac:dyDescent="0.15">
      <c r="B79" t="s">
        <v>10</v>
      </c>
      <c r="C79" s="24">
        <v>32</v>
      </c>
      <c r="D79" s="70">
        <v>35144</v>
      </c>
      <c r="E79" s="40">
        <f>表9_1516171824293031323334354041426185512212917618377787980818283[[#This Row],[Bytes_Count/Frame]]*8*30/1024/1024</f>
        <v>8.0438232421875</v>
      </c>
      <c r="F79" s="71">
        <v>12812288</v>
      </c>
      <c r="G79" s="27">
        <f>表9_1516171824293031323334354041426185512212917618377787980818283[[#This Row],[Core Cycle
'#/Frame]]*30/1000/1000</f>
        <v>384.36864000000003</v>
      </c>
      <c r="H79" s="59">
        <v>13377930</v>
      </c>
      <c r="I79" s="60">
        <f>表9_1516171824293031323334354041426185512212917618377787980818283[[#This Row],[Cpu Cycle 
'#/Frame]]*30/1000/1000</f>
        <v>401.33790000000005</v>
      </c>
      <c r="J79" s="59">
        <v>57</v>
      </c>
      <c r="K79" s="24"/>
    </row>
    <row r="80" spans="1:11" x14ac:dyDescent="0.15">
      <c r="B80" t="s">
        <v>272</v>
      </c>
      <c r="C80" s="24">
        <v>30</v>
      </c>
      <c r="D80" s="70">
        <v>168818</v>
      </c>
      <c r="E80" s="40">
        <f>表9_1516171824293031323334354041426185512212917618377787980818283[[#This Row],[Bytes_Count/Frame]]*8*30/1024/1024</f>
        <v>38.639373779296875</v>
      </c>
      <c r="F80" s="71">
        <v>12386304</v>
      </c>
      <c r="G80" s="27">
        <f>表9_1516171824293031323334354041426185512212917618377787980818283[[#This Row],[Core Cycle
'#/Frame]]*30/1000/1000</f>
        <v>371.58911999999998</v>
      </c>
      <c r="H80" s="59">
        <v>12966270</v>
      </c>
      <c r="I80" s="60">
        <f>表9_1516171824293031323334354041426185512212917618377787980818283[[#This Row],[Cpu Cycle 
'#/Frame]]*30/1000/1000</f>
        <v>388.98809999999997</v>
      </c>
      <c r="J80" s="59">
        <v>27</v>
      </c>
      <c r="K80" s="24"/>
    </row>
    <row r="81" spans="1:11" x14ac:dyDescent="0.15">
      <c r="B81" t="s">
        <v>10</v>
      </c>
      <c r="C81" s="24">
        <v>32</v>
      </c>
      <c r="D81" s="70">
        <v>35237</v>
      </c>
      <c r="E81" s="40">
        <f>表9_1516171824293031323334354041426185512212917618377787980818283[[#This Row],[Bytes_Count/Frame]]*8*30/1024/1024</f>
        <v>8.0651092529296875</v>
      </c>
      <c r="F81" s="71">
        <v>12517376</v>
      </c>
      <c r="G81" s="27">
        <f>表9_1516171824293031323334354041426185512212917618377787980818283[[#This Row],[Core Cycle
'#/Frame]]*30/1000/1000</f>
        <v>375.52128000000005</v>
      </c>
      <c r="H81" s="59">
        <v>13073754</v>
      </c>
      <c r="I81" s="60">
        <f>表9_1516171824293031323334354041426185512212917618377787980818283[[#This Row],[Cpu Cycle 
'#/Frame]]*30/1000/1000</f>
        <v>392.21262000000002</v>
      </c>
      <c r="J81" s="59">
        <v>57</v>
      </c>
      <c r="K81" s="24"/>
    </row>
    <row r="82" spans="1:11" x14ac:dyDescent="0.15">
      <c r="B82" t="s">
        <v>9</v>
      </c>
      <c r="C82" s="24">
        <v>31</v>
      </c>
      <c r="D82" s="70">
        <v>60363</v>
      </c>
      <c r="E82" s="40">
        <f>表9_1516171824293031323334354041426185512212917618377787980818283[[#This Row],[Bytes_Count/Frame]]*8*30/1024/1024</f>
        <v>13.815994262695313</v>
      </c>
      <c r="F82" s="71">
        <v>13008896</v>
      </c>
      <c r="G82" s="27">
        <f>表9_1516171824293031323334354041426185512212917618377787980818283[[#This Row],[Core Cycle
'#/Frame]]*30/1000/1000</f>
        <v>390.26688000000001</v>
      </c>
      <c r="H82" s="59">
        <v>13583618</v>
      </c>
      <c r="I82" s="60">
        <f>表9_1516171824293031323334354041426185512212917618377787980818283[[#This Row],[Cpu Cycle 
'#/Frame]]*30/1000/1000</f>
        <v>407.50853999999998</v>
      </c>
      <c r="J82" s="59">
        <v>44</v>
      </c>
      <c r="K82" s="24"/>
    </row>
    <row r="83" spans="1:11" x14ac:dyDescent="0.15">
      <c r="B83" t="s">
        <v>273</v>
      </c>
      <c r="C83" s="24">
        <v>32</v>
      </c>
      <c r="D83" s="70">
        <v>35805</v>
      </c>
      <c r="E83" s="40">
        <f>表9_1516171824293031323334354041426185512212917618377787980818283[[#This Row],[Bytes_Count/Frame]]*8*30/1024/1024</f>
        <v>8.1951141357421875</v>
      </c>
      <c r="F83" s="71">
        <v>12845056</v>
      </c>
      <c r="G83" s="27">
        <f>表9_1516171824293031323334354041426185512212917618377787980818283[[#This Row],[Core Cycle
'#/Frame]]*30/1000/1000</f>
        <v>385.35167999999999</v>
      </c>
      <c r="H83" s="59">
        <v>13422594</v>
      </c>
      <c r="I83" s="60">
        <f>表9_1516171824293031323334354041426185512212917618377787980818283[[#This Row],[Cpu Cycle 
'#/Frame]]*30/1000/1000</f>
        <v>402.67782</v>
      </c>
      <c r="J83" s="59">
        <v>57</v>
      </c>
      <c r="K83" s="24"/>
    </row>
    <row r="84" spans="1:11" x14ac:dyDescent="0.15">
      <c r="B84" t="s">
        <v>272</v>
      </c>
      <c r="C84" s="24">
        <v>30</v>
      </c>
      <c r="D84" s="70">
        <v>169142</v>
      </c>
      <c r="E84" s="40">
        <f>表9_1516171824293031323334354041426185512212917618377787980818283[[#This Row],[Bytes_Count/Frame]]*8*30/1024/1024</f>
        <v>38.713531494140625</v>
      </c>
      <c r="F84" s="71">
        <v>12386304</v>
      </c>
      <c r="G84" s="27">
        <f>表9_1516171824293031323334354041426185512212917618377787980818283[[#This Row],[Core Cycle
'#/Frame]]*30/1000/1000</f>
        <v>371.58911999999998</v>
      </c>
      <c r="H84" s="59">
        <v>12966270</v>
      </c>
      <c r="I84" s="60">
        <f>表9_1516171824293031323334354041426185512212917618377787980818283[[#This Row],[Cpu Cycle 
'#/Frame]]*30/1000/1000</f>
        <v>388.98809999999997</v>
      </c>
      <c r="J84" s="59">
        <v>27</v>
      </c>
      <c r="K84" s="24"/>
    </row>
    <row r="85" spans="1:11" x14ac:dyDescent="0.15">
      <c r="B85" t="s">
        <v>273</v>
      </c>
      <c r="C85" s="24">
        <v>32</v>
      </c>
      <c r="D85" s="70">
        <v>35256</v>
      </c>
      <c r="E85" s="40">
        <f>表9_1516171824293031323334354041426185512212917618377787980818283[[#This Row],[Bytes_Count/Frame]]*8*30/1024/1024</f>
        <v>8.0694580078125</v>
      </c>
      <c r="F85" s="71">
        <v>12550144</v>
      </c>
      <c r="G85" s="27">
        <f>表9_1516171824293031323334354041426185512212917618377787980818283[[#This Row],[Core Cycle
'#/Frame]]*30/1000/1000</f>
        <v>376.50432000000001</v>
      </c>
      <c r="H85" s="59">
        <v>13118434</v>
      </c>
      <c r="I85" s="60">
        <f>表9_1516171824293031323334354041426185512212917618377787980818283[[#This Row],[Cpu Cycle 
'#/Frame]]*30/1000/1000</f>
        <v>393.55302</v>
      </c>
      <c r="J85" s="59">
        <v>57</v>
      </c>
      <c r="K85" s="24"/>
    </row>
    <row r="86" spans="1:11" x14ac:dyDescent="0.15">
      <c r="B86" t="s">
        <v>274</v>
      </c>
      <c r="C86" s="24">
        <v>31</v>
      </c>
      <c r="D86" s="70">
        <v>61567</v>
      </c>
      <c r="E86" s="40">
        <f>表9_1516171824293031323334354041426185512212917618377787980818283[[#This Row],[Bytes_Count/Frame]]*8*30/1024/1024</f>
        <v>14.091567993164063</v>
      </c>
      <c r="F86" s="71">
        <v>12779520</v>
      </c>
      <c r="G86" s="27">
        <f>表9_1516171824293031323334354041426185512212917618377787980818283[[#This Row],[Core Cycle
'#/Frame]]*30/1000/1000</f>
        <v>383.38559999999995</v>
      </c>
      <c r="H86" s="59">
        <v>13383226</v>
      </c>
      <c r="I86" s="60">
        <f>表9_1516171824293031323334354041426185512212917618377787980818283[[#This Row],[Cpu Cycle 
'#/Frame]]*30/1000/1000</f>
        <v>401.49678</v>
      </c>
      <c r="J86" s="59">
        <v>44</v>
      </c>
      <c r="K86" s="24"/>
    </row>
    <row r="87" spans="1:11" x14ac:dyDescent="0.15">
      <c r="B87" t="s">
        <v>273</v>
      </c>
      <c r="C87" s="24">
        <v>32</v>
      </c>
      <c r="D87" s="70">
        <v>37954</v>
      </c>
      <c r="E87" s="40">
        <f>表9_1516171824293031323334354041426185512212917618377787980818283[[#This Row],[Bytes_Count/Frame]]*8*30/1024/1024</f>
        <v>8.686981201171875</v>
      </c>
      <c r="F87" s="71">
        <v>12877824</v>
      </c>
      <c r="G87" s="27">
        <f>表9_1516171824293031323334354041426185512212917618377787980818283[[#This Row],[Core Cycle
'#/Frame]]*30/1000/1000</f>
        <v>386.33471999999995</v>
      </c>
      <c r="H87" s="60">
        <v>13473786</v>
      </c>
      <c r="I87" s="60">
        <f>表9_1516171824293031323334354041426185512212917618377787980818283[[#This Row],[Cpu Cycle 
'#/Frame]]*30/1000/1000</f>
        <v>404.21358000000004</v>
      </c>
      <c r="J87" s="60">
        <v>58</v>
      </c>
      <c r="K87" s="24"/>
    </row>
    <row r="89" spans="1:11" ht="27" x14ac:dyDescent="0.15">
      <c r="A89" s="1" t="s">
        <v>1</v>
      </c>
      <c r="B89" s="1" t="s">
        <v>2</v>
      </c>
      <c r="C89" s="25" t="s">
        <v>158</v>
      </c>
      <c r="D89" s="25" t="s">
        <v>287</v>
      </c>
      <c r="E89" s="25" t="s">
        <v>276</v>
      </c>
      <c r="F89" s="57" t="s">
        <v>277</v>
      </c>
      <c r="G89" s="58" t="s">
        <v>278</v>
      </c>
      <c r="H89" s="57" t="s">
        <v>279</v>
      </c>
      <c r="I89" s="58" t="s">
        <v>290</v>
      </c>
      <c r="J89" s="56" t="s">
        <v>280</v>
      </c>
      <c r="K89" s="25" t="s">
        <v>159</v>
      </c>
    </row>
    <row r="90" spans="1:11" x14ac:dyDescent="0.15">
      <c r="A90" t="s">
        <v>286</v>
      </c>
      <c r="B90" t="s">
        <v>0</v>
      </c>
      <c r="C90" s="24">
        <v>30</v>
      </c>
      <c r="D90" s="72">
        <v>164872</v>
      </c>
      <c r="E90" s="40">
        <f>表9_151617182429303132333435404142618551221291761837778798081828384[[#This Row],[Bytes_Count/Frame]]*8*30/1024/1024</f>
        <v>37.7362060546875</v>
      </c>
      <c r="F90" s="73">
        <v>12419072</v>
      </c>
      <c r="G90" s="27">
        <f>表9_151617182429303132333435404142618551221291761837778798081828384[[#This Row],[Core Cycle
'#/Frame]]*30/1000/1000</f>
        <v>372.57216</v>
      </c>
      <c r="H90" s="59">
        <v>12971326</v>
      </c>
      <c r="I90" s="27">
        <f>表9_151617182429303132333435404142618551221291761837778798081828384[[#This Row],[Cpu Cycle 
'#/Frame]]*30/1000/1000</f>
        <v>389.13978000000003</v>
      </c>
      <c r="J90" s="59">
        <v>27</v>
      </c>
      <c r="K90" s="24"/>
    </row>
    <row r="91" spans="1:11" x14ac:dyDescent="0.15">
      <c r="B91" t="s">
        <v>9</v>
      </c>
      <c r="C91" s="24">
        <v>31</v>
      </c>
      <c r="D91" s="72">
        <v>57846</v>
      </c>
      <c r="E91" s="40">
        <f>表9_151617182429303132333435404142618551221291761837778798081828384[[#This Row],[Bytes_Count/Frame]]*8*30/1024/1024</f>
        <v>13.239898681640625</v>
      </c>
      <c r="F91" s="73">
        <v>12681216</v>
      </c>
      <c r="G91" s="27">
        <f>表9_151617182429303132333435404142618551221291761837778798081828384[[#This Row],[Core Cycle
'#/Frame]]*30/1000/1000</f>
        <v>380.43647999999996</v>
      </c>
      <c r="H91" s="59">
        <v>13233182</v>
      </c>
      <c r="I91" s="60">
        <f>表9_151617182429303132333435404142618551221291761837778798081828384[[#This Row],[Cpu Cycle 
'#/Frame]]*30/1000/1000</f>
        <v>396.99546000000004</v>
      </c>
      <c r="J91" s="59">
        <v>42</v>
      </c>
      <c r="K91" s="24"/>
    </row>
    <row r="92" spans="1:11" x14ac:dyDescent="0.15">
      <c r="B92" t="s">
        <v>10</v>
      </c>
      <c r="C92" s="24">
        <v>32</v>
      </c>
      <c r="D92" s="72">
        <v>28827</v>
      </c>
      <c r="E92" s="40">
        <f>表9_151617182429303132333435404142618551221291761837778798081828384[[#This Row],[Bytes_Count/Frame]]*8*30/1024/1024</f>
        <v>6.5979766845703125</v>
      </c>
      <c r="F92" s="73">
        <v>12910592</v>
      </c>
      <c r="G92" s="27">
        <f>表9_151617182429303132333435404142618551221291761837778798081828384[[#This Row],[Core Cycle
'#/Frame]]*30/1000/1000</f>
        <v>387.31776000000002</v>
      </c>
      <c r="H92" s="59">
        <v>13485114</v>
      </c>
      <c r="I92" s="60">
        <f>表9_151617182429303132333435404142618551221291761837778798081828384[[#This Row],[Cpu Cycle 
'#/Frame]]*30/1000/1000</f>
        <v>404.55341999999996</v>
      </c>
      <c r="J92" s="59">
        <v>55</v>
      </c>
      <c r="K92" s="24"/>
    </row>
    <row r="93" spans="1:11" x14ac:dyDescent="0.15">
      <c r="B93" t="s">
        <v>272</v>
      </c>
      <c r="C93" s="24">
        <v>30</v>
      </c>
      <c r="D93" s="72">
        <v>164653</v>
      </c>
      <c r="E93" s="40">
        <f>表9_151617182429303132333435404142618551221291761837778798081828384[[#This Row],[Bytes_Count/Frame]]*8*30/1024/1024</f>
        <v>37.686080932617188</v>
      </c>
      <c r="F93" s="73">
        <v>12419072</v>
      </c>
      <c r="G93" s="27">
        <f>表9_151617182429303132333435404142618551221291761837778798081828384[[#This Row],[Core Cycle
'#/Frame]]*30/1000/1000</f>
        <v>372.57216</v>
      </c>
      <c r="H93" s="59">
        <v>12975206</v>
      </c>
      <c r="I93" s="60">
        <f>表9_151617182429303132333435404142618551221291761837778798081828384[[#This Row],[Cpu Cycle 
'#/Frame]]*30/1000/1000</f>
        <v>389.25617999999997</v>
      </c>
      <c r="J93" s="59">
        <v>27</v>
      </c>
      <c r="K93" s="24"/>
    </row>
    <row r="94" spans="1:11" x14ac:dyDescent="0.15">
      <c r="B94" t="s">
        <v>10</v>
      </c>
      <c r="C94" s="24">
        <v>32</v>
      </c>
      <c r="D94" s="72">
        <v>27832</v>
      </c>
      <c r="E94" s="40">
        <f>表9_151617182429303132333435404142618551221291761837778798081828384[[#This Row],[Bytes_Count/Frame]]*8*30/1024/1024</f>
        <v>6.3702392578125</v>
      </c>
      <c r="F94" s="73">
        <v>12582912</v>
      </c>
      <c r="G94" s="27">
        <f>表9_151617182429303132333435404142618551221291761837778798081828384[[#This Row],[Core Cycle
'#/Frame]]*30/1000/1000</f>
        <v>377.48735999999997</v>
      </c>
      <c r="H94" s="59">
        <v>13136282</v>
      </c>
      <c r="I94" s="60">
        <f>表9_151617182429303132333435404142618551221291761837778798081828384[[#This Row],[Cpu Cycle 
'#/Frame]]*30/1000/1000</f>
        <v>394.08846</v>
      </c>
      <c r="J94" s="59">
        <v>55</v>
      </c>
      <c r="K94" s="24"/>
    </row>
    <row r="95" spans="1:11" x14ac:dyDescent="0.15">
      <c r="B95" t="s">
        <v>9</v>
      </c>
      <c r="C95" s="24">
        <v>31</v>
      </c>
      <c r="D95" s="72">
        <v>57884</v>
      </c>
      <c r="E95" s="40">
        <f>表9_151617182429303132333435404142618551221291761837778798081828384[[#This Row],[Bytes_Count/Frame]]*8*30/1024/1024</f>
        <v>13.24859619140625</v>
      </c>
      <c r="F95" s="73">
        <v>13008896</v>
      </c>
      <c r="G95" s="27">
        <f>表9_151617182429303132333435404142618551221291761837778798081828384[[#This Row],[Core Cycle
'#/Frame]]*30/1000/1000</f>
        <v>390.26688000000001</v>
      </c>
      <c r="H95" s="59">
        <v>13583618</v>
      </c>
      <c r="I95" s="60">
        <f>表9_151617182429303132333435404142618551221291761837778798081828384[[#This Row],[Cpu Cycle 
'#/Frame]]*30/1000/1000</f>
        <v>407.50853999999998</v>
      </c>
      <c r="J95" s="59">
        <v>42</v>
      </c>
      <c r="K95" s="24"/>
    </row>
    <row r="96" spans="1:11" x14ac:dyDescent="0.15">
      <c r="B96" t="s">
        <v>273</v>
      </c>
      <c r="C96" s="24">
        <v>32</v>
      </c>
      <c r="D96" s="72">
        <v>27512</v>
      </c>
      <c r="E96" s="40">
        <f>表9_151617182429303132333435404142618551221291761837778798081828384[[#This Row],[Bytes_Count/Frame]]*8*30/1024/1024</f>
        <v>6.2969970703125</v>
      </c>
      <c r="F96" s="73">
        <v>13008896</v>
      </c>
      <c r="G96" s="27">
        <f>表9_151617182429303132333435404142618551221291761837778798081828384[[#This Row],[Core Cycle
'#/Frame]]*30/1000/1000</f>
        <v>390.26688000000001</v>
      </c>
      <c r="H96" s="59">
        <v>13574434</v>
      </c>
      <c r="I96" s="60">
        <f>表9_151617182429303132333435404142618551221291761837778798081828384[[#This Row],[Cpu Cycle 
'#/Frame]]*30/1000/1000</f>
        <v>407.23302000000001</v>
      </c>
      <c r="J96" s="59">
        <v>55</v>
      </c>
      <c r="K96" s="24"/>
    </row>
    <row r="97" spans="1:11" x14ac:dyDescent="0.15">
      <c r="B97" t="s">
        <v>272</v>
      </c>
      <c r="C97" s="24">
        <v>30</v>
      </c>
      <c r="D97" s="72">
        <v>164062</v>
      </c>
      <c r="E97" s="40">
        <f>表9_151617182429303132333435404142618551221291761837778798081828384[[#This Row],[Bytes_Count/Frame]]*8*30/1024/1024</f>
        <v>37.550811767578125</v>
      </c>
      <c r="F97" s="73">
        <v>12419072</v>
      </c>
      <c r="G97" s="27">
        <f>表9_151617182429303132333435404142618551221291761837778798081828384[[#This Row],[Core Cycle
'#/Frame]]*30/1000/1000</f>
        <v>372.57216</v>
      </c>
      <c r="H97" s="59">
        <v>12975206</v>
      </c>
      <c r="I97" s="60">
        <f>表9_151617182429303132333435404142618551221291761837778798081828384[[#This Row],[Cpu Cycle 
'#/Frame]]*30/1000/1000</f>
        <v>389.25617999999997</v>
      </c>
      <c r="J97" s="59">
        <v>27</v>
      </c>
      <c r="K97" s="24"/>
    </row>
    <row r="98" spans="1:11" x14ac:dyDescent="0.15">
      <c r="B98" t="s">
        <v>273</v>
      </c>
      <c r="C98" s="24">
        <v>32</v>
      </c>
      <c r="D98" s="72">
        <v>26737</v>
      </c>
      <c r="E98" s="40">
        <f>表9_151617182429303132333435404142618551221291761837778798081828384[[#This Row],[Bytes_Count/Frame]]*8*30/1024/1024</f>
        <v>6.1196136474609375</v>
      </c>
      <c r="F98" s="73">
        <v>12615680</v>
      </c>
      <c r="G98" s="27">
        <f>表9_151617182429303132333435404142618551221291761837778798081828384[[#This Row],[Core Cycle
'#/Frame]]*30/1000/1000</f>
        <v>378.47040000000004</v>
      </c>
      <c r="H98" s="59">
        <v>13170122</v>
      </c>
      <c r="I98" s="60">
        <f>表9_151617182429303132333435404142618551221291761837778798081828384[[#This Row],[Cpu Cycle 
'#/Frame]]*30/1000/1000</f>
        <v>395.10365999999999</v>
      </c>
      <c r="J98" s="59">
        <v>55</v>
      </c>
      <c r="K98" s="24"/>
    </row>
    <row r="99" spans="1:11" x14ac:dyDescent="0.15">
      <c r="B99" t="s">
        <v>274</v>
      </c>
      <c r="C99" s="24">
        <v>31</v>
      </c>
      <c r="D99" s="72">
        <v>58423</v>
      </c>
      <c r="E99" s="40">
        <f>表9_151617182429303132333435404142618551221291761837778798081828384[[#This Row],[Bytes_Count/Frame]]*8*30/1024/1024</f>
        <v>13.371963500976563</v>
      </c>
      <c r="F99" s="73">
        <v>13271040</v>
      </c>
      <c r="G99" s="27">
        <f>表9_151617182429303132333435404142618551221291761837778798081828384[[#This Row],[Core Cycle
'#/Frame]]*30/1000/1000</f>
        <v>398.13120000000004</v>
      </c>
      <c r="H99" s="59">
        <v>13873374</v>
      </c>
      <c r="I99" s="60">
        <f>表9_151617182429303132333435404142618551221291761837778798081828384[[#This Row],[Cpu Cycle 
'#/Frame]]*30/1000/1000</f>
        <v>416.20121999999998</v>
      </c>
      <c r="J99" s="59">
        <v>42</v>
      </c>
      <c r="K99" s="24"/>
    </row>
    <row r="100" spans="1:11" x14ac:dyDescent="0.15">
      <c r="B100" t="s">
        <v>273</v>
      </c>
      <c r="C100" s="24">
        <v>32</v>
      </c>
      <c r="D100" s="72">
        <v>28740</v>
      </c>
      <c r="E100" s="40">
        <f>表9_151617182429303132333435404142618551221291761837778798081828384[[#This Row],[Bytes_Count/Frame]]*8*30/1024/1024</f>
        <v>6.57806396484375</v>
      </c>
      <c r="F100" s="73">
        <v>13172736</v>
      </c>
      <c r="G100" s="27">
        <f>表9_151617182429303132333435404142618551221291761837778798081828384[[#This Row],[Core Cycle
'#/Frame]]*30/1000/1000</f>
        <v>395.18208000000004</v>
      </c>
      <c r="H100" s="59">
        <v>13747522</v>
      </c>
      <c r="I100" s="60">
        <f>表9_151617182429303132333435404142618551221291761837778798081828384[[#This Row],[Cpu Cycle 
'#/Frame]]*30/1000/1000</f>
        <v>412.42565999999999</v>
      </c>
      <c r="J100" s="59">
        <v>55</v>
      </c>
      <c r="K100" s="24"/>
    </row>
    <row r="102" spans="1:11" ht="27" x14ac:dyDescent="0.15">
      <c r="A102" s="1" t="s">
        <v>1</v>
      </c>
      <c r="B102" s="1" t="s">
        <v>2</v>
      </c>
      <c r="C102" s="25" t="s">
        <v>158</v>
      </c>
      <c r="D102" s="25" t="s">
        <v>287</v>
      </c>
      <c r="E102" s="25" t="s">
        <v>276</v>
      </c>
      <c r="F102" s="57" t="s">
        <v>277</v>
      </c>
      <c r="G102" s="58" t="s">
        <v>278</v>
      </c>
      <c r="H102" s="57" t="s">
        <v>279</v>
      </c>
      <c r="I102" s="58" t="s">
        <v>290</v>
      </c>
      <c r="J102" s="56" t="s">
        <v>280</v>
      </c>
      <c r="K102" s="25" t="s">
        <v>159</v>
      </c>
    </row>
    <row r="103" spans="1:11" x14ac:dyDescent="0.15">
      <c r="A103" t="s">
        <v>286</v>
      </c>
      <c r="B103" t="s">
        <v>0</v>
      </c>
      <c r="C103" s="24">
        <v>30</v>
      </c>
      <c r="D103" s="74">
        <v>137771</v>
      </c>
      <c r="E103" s="40">
        <f>表9_15161718242930313233343540414261855122129176183777879808182838485[[#This Row],[Bytes_Count/Frame]]*8*30/1024/1024</f>
        <v>31.533279418945313</v>
      </c>
      <c r="F103" s="75">
        <v>12386304</v>
      </c>
      <c r="G103" s="27">
        <f>表9_15161718242930313233343540414261855122129176183777879808182838485[[#This Row],[Core Cycle
'#/Frame]]*30/1000/1000</f>
        <v>371.58911999999998</v>
      </c>
      <c r="H103" s="59">
        <v>12962390</v>
      </c>
      <c r="I103" s="27">
        <f>表9_15161718242930313233343540414261855122129176183777879808182838485[[#This Row],[Cpu Cycle 
'#/Frame]]*30/1000/1000</f>
        <v>388.87170000000003</v>
      </c>
      <c r="J103" s="59">
        <v>27</v>
      </c>
      <c r="K103" s="24"/>
    </row>
    <row r="104" spans="1:11" x14ac:dyDescent="0.15">
      <c r="B104" t="s">
        <v>9</v>
      </c>
      <c r="C104" s="24">
        <v>31</v>
      </c>
      <c r="D104" s="74">
        <v>15153</v>
      </c>
      <c r="E104" s="40">
        <f>表9_15161718242930313233343540414261855122129176183777879808182838485[[#This Row],[Bytes_Count/Frame]]*8*30/1024/1024</f>
        <v>3.4682464599609375</v>
      </c>
      <c r="F104" s="75">
        <v>13533184</v>
      </c>
      <c r="G104" s="27">
        <f>表9_15161718242930313233343540414261855122129176183777879808182838485[[#This Row],[Core Cycle
'#/Frame]]*30/1000/1000</f>
        <v>405.99552</v>
      </c>
      <c r="H104" s="59">
        <v>14082654</v>
      </c>
      <c r="I104" s="60">
        <f>表9_15161718242930313233343540414261855122129176183777879808182838485[[#This Row],[Cpu Cycle 
'#/Frame]]*30/1000/1000</f>
        <v>422.47962000000001</v>
      </c>
      <c r="J104" s="59">
        <v>41</v>
      </c>
      <c r="K104" s="24"/>
    </row>
    <row r="105" spans="1:11" x14ac:dyDescent="0.15">
      <c r="B105" t="s">
        <v>10</v>
      </c>
      <c r="C105" s="24">
        <v>32</v>
      </c>
      <c r="D105" s="74">
        <v>4539</v>
      </c>
      <c r="E105" s="40">
        <f>表9_15161718242930313233343540414261855122129176183777879808182838485[[#This Row],[Bytes_Count/Frame]]*8*30/1024/1024</f>
        <v>1.0388946533203125</v>
      </c>
      <c r="F105" s="75">
        <v>12550144</v>
      </c>
      <c r="G105" s="27">
        <f>表9_15161718242930313233343540414261855122129176183777879808182838485[[#This Row],[Core Cycle
'#/Frame]]*30/1000/1000</f>
        <v>376.50432000000001</v>
      </c>
      <c r="H105" s="59">
        <v>13098998</v>
      </c>
      <c r="I105" s="60">
        <f>表9_15161718242930313233343540414261855122129176183777879808182838485[[#This Row],[Cpu Cycle 
'#/Frame]]*30/1000/1000</f>
        <v>392.96994000000001</v>
      </c>
      <c r="J105" s="59">
        <v>54</v>
      </c>
      <c r="K105" s="24"/>
    </row>
    <row r="106" spans="1:11" x14ac:dyDescent="0.15">
      <c r="B106" t="s">
        <v>272</v>
      </c>
      <c r="C106" s="24">
        <v>30</v>
      </c>
      <c r="D106" s="74">
        <v>137576</v>
      </c>
      <c r="E106" s="40">
        <f>表9_15161718242930313233343540414261855122129176183777879808182838485[[#This Row],[Bytes_Count/Frame]]*8*30/1024/1024</f>
        <v>31.4886474609375</v>
      </c>
      <c r="F106" s="75">
        <v>12386304</v>
      </c>
      <c r="G106" s="27">
        <f>表9_15161718242930313233343540414261855122129176183777879808182838485[[#This Row],[Core Cycle
'#/Frame]]*30/1000/1000</f>
        <v>371.58911999999998</v>
      </c>
      <c r="H106" s="59">
        <v>12966270</v>
      </c>
      <c r="I106" s="60">
        <f>表9_15161718242930313233343540414261855122129176183777879808182838485[[#This Row],[Cpu Cycle 
'#/Frame]]*30/1000/1000</f>
        <v>388.98809999999997</v>
      </c>
      <c r="J106" s="59">
        <v>27</v>
      </c>
      <c r="K106" s="24"/>
    </row>
    <row r="107" spans="1:11" x14ac:dyDescent="0.15">
      <c r="B107" t="s">
        <v>10</v>
      </c>
      <c r="C107" s="24">
        <v>32</v>
      </c>
      <c r="D107" s="74">
        <v>4912</v>
      </c>
      <c r="E107" s="40">
        <f>表9_15161718242930313233343540414261855122129176183777879808182838485[[#This Row],[Bytes_Count/Frame]]*8*30/1024/1024</f>
        <v>1.124267578125</v>
      </c>
      <c r="F107" s="75">
        <v>12255232</v>
      </c>
      <c r="G107" s="27">
        <f>表9_15161718242930313233343540414261855122129176183777879808182838485[[#This Row],[Core Cycle
'#/Frame]]*30/1000/1000</f>
        <v>367.65696000000003</v>
      </c>
      <c r="H107" s="59">
        <v>12824754</v>
      </c>
      <c r="I107" s="60">
        <f>表9_15161718242930313233343540414261855122129176183777879808182838485[[#This Row],[Cpu Cycle 
'#/Frame]]*30/1000/1000</f>
        <v>384.74261999999999</v>
      </c>
      <c r="J107" s="59">
        <v>54</v>
      </c>
      <c r="K107" s="24"/>
    </row>
    <row r="108" spans="1:11" x14ac:dyDescent="0.15">
      <c r="B108" t="s">
        <v>9</v>
      </c>
      <c r="C108" s="24">
        <v>31</v>
      </c>
      <c r="D108" s="74">
        <v>14884</v>
      </c>
      <c r="E108" s="40">
        <f>表9_15161718242930313233343540414261855122129176183777879808182838485[[#This Row],[Bytes_Count/Frame]]*8*30/1024/1024</f>
        <v>3.40667724609375</v>
      </c>
      <c r="F108" s="75">
        <v>13205504</v>
      </c>
      <c r="G108" s="27">
        <f>表9_15161718242930313233343540414261855122129176183777879808182838485[[#This Row],[Core Cycle
'#/Frame]]*30/1000/1000</f>
        <v>396.16512</v>
      </c>
      <c r="H108" s="59">
        <v>13750162</v>
      </c>
      <c r="I108" s="60">
        <f>表9_15161718242930313233343540414261855122129176183777879808182838485[[#This Row],[Cpu Cycle 
'#/Frame]]*30/1000/1000</f>
        <v>412.50486000000001</v>
      </c>
      <c r="J108" s="59">
        <v>41</v>
      </c>
      <c r="K108" s="24"/>
    </row>
    <row r="109" spans="1:11" x14ac:dyDescent="0.15">
      <c r="B109" t="s">
        <v>273</v>
      </c>
      <c r="C109" s="24">
        <v>32</v>
      </c>
      <c r="D109" s="74">
        <v>4982</v>
      </c>
      <c r="E109" s="40">
        <f>表9_15161718242930313233343540414261855122129176183777879808182838485[[#This Row],[Bytes_Count/Frame]]*8*30/1024/1024</f>
        <v>1.140289306640625</v>
      </c>
      <c r="F109" s="75">
        <v>12615680</v>
      </c>
      <c r="G109" s="27">
        <f>表9_15161718242930313233343540414261855122129176183777879808182838485[[#This Row],[Core Cycle
'#/Frame]]*30/1000/1000</f>
        <v>378.47040000000004</v>
      </c>
      <c r="H109" s="59">
        <v>13159614</v>
      </c>
      <c r="I109" s="60">
        <f>表9_15161718242930313233343540414261855122129176183777879808182838485[[#This Row],[Cpu Cycle 
'#/Frame]]*30/1000/1000</f>
        <v>394.78841999999997</v>
      </c>
      <c r="J109" s="59">
        <v>54</v>
      </c>
      <c r="K109" s="24"/>
    </row>
    <row r="110" spans="1:11" x14ac:dyDescent="0.15">
      <c r="B110" t="s">
        <v>272</v>
      </c>
      <c r="C110" s="24">
        <v>30</v>
      </c>
      <c r="D110" s="74">
        <v>137383</v>
      </c>
      <c r="E110" s="40">
        <f>表9_15161718242930313233343540414261855122129176183777879808182838485[[#This Row],[Bytes_Count/Frame]]*8*30/1024/1024</f>
        <v>31.444473266601563</v>
      </c>
      <c r="F110" s="75">
        <v>12386304</v>
      </c>
      <c r="G110" s="27">
        <f>表9_15161718242930313233343540414261855122129176183777879808182838485[[#This Row],[Core Cycle
'#/Frame]]*30/1000/1000</f>
        <v>371.58911999999998</v>
      </c>
      <c r="H110" s="59">
        <v>12966270</v>
      </c>
      <c r="I110" s="60">
        <f>表9_15161718242930313233343540414261855122129176183777879808182838485[[#This Row],[Cpu Cycle 
'#/Frame]]*30/1000/1000</f>
        <v>388.98809999999997</v>
      </c>
      <c r="J110" s="59">
        <v>27</v>
      </c>
      <c r="K110" s="24"/>
    </row>
    <row r="111" spans="1:11" x14ac:dyDescent="0.15">
      <c r="B111" t="s">
        <v>273</v>
      </c>
      <c r="C111" s="24">
        <v>32</v>
      </c>
      <c r="D111" s="74">
        <v>5119</v>
      </c>
      <c r="E111" s="40">
        <f>表9_15161718242930313233343540414261855122129176183777879808182838485[[#This Row],[Bytes_Count/Frame]]*8*30/1024/1024</f>
        <v>1.1716461181640625</v>
      </c>
      <c r="F111" s="75">
        <v>12255232</v>
      </c>
      <c r="G111" s="27">
        <f>表9_15161718242930313233343540414261855122129176183777879808182838485[[#This Row],[Core Cycle
'#/Frame]]*30/1000/1000</f>
        <v>367.65696000000003</v>
      </c>
      <c r="H111" s="59">
        <v>12824778</v>
      </c>
      <c r="I111" s="60">
        <f>表9_15161718242930313233343540414261855122129176183777879808182838485[[#This Row],[Cpu Cycle 
'#/Frame]]*30/1000/1000</f>
        <v>384.74334000000005</v>
      </c>
      <c r="J111" s="59">
        <v>54</v>
      </c>
      <c r="K111" s="24"/>
    </row>
    <row r="112" spans="1:11" x14ac:dyDescent="0.15">
      <c r="B112" t="s">
        <v>274</v>
      </c>
      <c r="C112" s="24">
        <v>31</v>
      </c>
      <c r="D112" s="74">
        <v>16850</v>
      </c>
      <c r="E112" s="40">
        <f>表9_15161718242930313233343540414261855122129176183777879808182838485[[#This Row],[Bytes_Count/Frame]]*8*30/1024/1024</f>
        <v>3.856658935546875</v>
      </c>
      <c r="F112" s="75">
        <v>13533184</v>
      </c>
      <c r="G112" s="27">
        <f>表9_15161718242930313233343540414261855122129176183777879808182838485[[#This Row],[Core Cycle
'#/Frame]]*30/1000/1000</f>
        <v>405.99552</v>
      </c>
      <c r="H112" s="59">
        <v>14145282</v>
      </c>
      <c r="I112" s="60">
        <f>表9_15161718242930313233343540414261855122129176183777879808182838485[[#This Row],[Cpu Cycle 
'#/Frame]]*30/1000/1000</f>
        <v>424.35846000000004</v>
      </c>
      <c r="J112" s="59">
        <v>42</v>
      </c>
      <c r="K112" s="24"/>
    </row>
    <row r="113" spans="1:22" x14ac:dyDescent="0.15">
      <c r="B113" t="s">
        <v>273</v>
      </c>
      <c r="C113" s="24">
        <v>32</v>
      </c>
      <c r="D113" s="74">
        <v>6644</v>
      </c>
      <c r="E113" s="40">
        <f>表9_15161718242930313233343540414261855122129176183777879808182838485[[#This Row],[Bytes_Count/Frame]]*8*30/1024/1024</f>
        <v>1.52069091796875</v>
      </c>
      <c r="F113" s="75">
        <v>13041664</v>
      </c>
      <c r="G113" s="27">
        <f>表9_15161718242930313233343540414261855122129176183777879808182838485[[#This Row],[Core Cycle
'#/Frame]]*30/1000/1000</f>
        <v>391.24991999999997</v>
      </c>
      <c r="H113" s="59">
        <v>13616698</v>
      </c>
      <c r="I113" s="60">
        <f>表9_15161718242930313233343540414261855122129176183777879808182838485[[#This Row],[Cpu Cycle 
'#/Frame]]*30/1000/1000</f>
        <v>408.50094000000001</v>
      </c>
      <c r="J113" s="59">
        <v>55</v>
      </c>
      <c r="K113" s="24"/>
    </row>
    <row r="123" spans="1:22" ht="46.5" customHeight="1" x14ac:dyDescent="0.25">
      <c r="A123" s="102" t="s">
        <v>307</v>
      </c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U123" s="25"/>
      <c r="V123" s="25"/>
    </row>
    <row r="124" spans="1:22" ht="67.5" x14ac:dyDescent="0.15">
      <c r="A124" s="1" t="s">
        <v>1</v>
      </c>
      <c r="B124" s="76" t="s">
        <v>302</v>
      </c>
      <c r="C124" s="76" t="s">
        <v>303</v>
      </c>
      <c r="D124" s="92" t="s">
        <v>304</v>
      </c>
      <c r="E124" s="92" t="s">
        <v>294</v>
      </c>
      <c r="F124" s="92" t="s">
        <v>295</v>
      </c>
      <c r="G124" s="92" t="s">
        <v>296</v>
      </c>
      <c r="H124" s="93" t="s">
        <v>308</v>
      </c>
      <c r="I124" s="94" t="s">
        <v>305</v>
      </c>
      <c r="U124" s="59"/>
      <c r="V124" s="24"/>
    </row>
    <row r="125" spans="1:22" x14ac:dyDescent="0.15">
      <c r="A125" s="77" t="s">
        <v>306</v>
      </c>
      <c r="B125" s="78">
        <v>389.28384</v>
      </c>
      <c r="C125" s="89">
        <v>423.69024000000002</v>
      </c>
      <c r="D125" s="78">
        <v>434.50367999999997</v>
      </c>
      <c r="E125" s="79">
        <v>28</v>
      </c>
      <c r="F125" s="79">
        <v>44</v>
      </c>
      <c r="G125" s="79">
        <v>55</v>
      </c>
      <c r="H125" s="89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434.50367999999997</v>
      </c>
      <c r="I125" s="78">
        <f>表9_15161718242930313233343540414261855122129176183777879808151[[#This Row],[B_Frame Max_BW
/Frame(Mbytes)]]*30</f>
        <v>1650</v>
      </c>
      <c r="U125" s="59"/>
      <c r="V125" s="24"/>
    </row>
    <row r="126" spans="1:22" x14ac:dyDescent="0.15">
      <c r="A126" s="77" t="s">
        <v>292</v>
      </c>
      <c r="B126" s="78">
        <v>389.28384</v>
      </c>
      <c r="C126" s="89">
        <v>434.50367999999997</v>
      </c>
      <c r="D126" s="78">
        <v>451.21535999999998</v>
      </c>
      <c r="E126" s="79">
        <v>28</v>
      </c>
      <c r="F126" s="79">
        <v>45</v>
      </c>
      <c r="G126" s="79">
        <v>58</v>
      </c>
      <c r="H126" s="89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451.21535999999998</v>
      </c>
      <c r="I126" s="80">
        <f>表9_15161718242930313233343540414261855122129176183777879808151[[#This Row],[B_Frame Max_BW
/Frame(Mbytes)]]*30</f>
        <v>1740</v>
      </c>
      <c r="U126" s="59"/>
      <c r="V126" s="24"/>
    </row>
    <row r="127" spans="1:22" x14ac:dyDescent="0.15">
      <c r="A127" s="77" t="s">
        <v>293</v>
      </c>
      <c r="B127" s="78">
        <v>393.21600000000001</v>
      </c>
      <c r="C127" s="89">
        <v>444.33408000000003</v>
      </c>
      <c r="D127" s="78">
        <v>450.23232000000002</v>
      </c>
      <c r="E127" s="79">
        <v>28</v>
      </c>
      <c r="F127" s="79">
        <v>46</v>
      </c>
      <c r="G127" s="79">
        <v>59</v>
      </c>
      <c r="H127" s="89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450.23232000000002</v>
      </c>
      <c r="I127" s="80">
        <f>表9_15161718242930313233343540414261855122129176183777879808151[[#This Row],[B_Frame Max_BW
/Frame(Mbytes)]]*30</f>
        <v>1770</v>
      </c>
      <c r="U127" s="59"/>
      <c r="V127" s="24"/>
    </row>
    <row r="128" spans="1:22" x14ac:dyDescent="0.15">
      <c r="A128" s="81" t="s">
        <v>283</v>
      </c>
      <c r="B128" s="82">
        <v>400.09728000000001</v>
      </c>
      <c r="C128" s="90">
        <v>443.35103999999995</v>
      </c>
      <c r="D128" s="82">
        <v>433.52064000000001</v>
      </c>
      <c r="E128" s="83">
        <v>28</v>
      </c>
      <c r="F128" s="83">
        <v>42</v>
      </c>
      <c r="G128" s="83">
        <v>54</v>
      </c>
      <c r="H128" s="90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443.35103999999995</v>
      </c>
      <c r="I128" s="84">
        <f>表9_15161718242930313233343540414261855122129176183777879808151[[#This Row],[B_Frame Max_BW
/Frame(Mbytes)]]*30</f>
        <v>1620</v>
      </c>
      <c r="U128" s="59"/>
      <c r="V128" s="24"/>
    </row>
    <row r="129" spans="1:22" x14ac:dyDescent="0.15">
      <c r="A129" s="81" t="s">
        <v>309</v>
      </c>
      <c r="B129" s="82">
        <v>398.13120000000004</v>
      </c>
      <c r="C129" s="90">
        <v>434.50367999999997</v>
      </c>
      <c r="D129" s="82">
        <v>429.58848</v>
      </c>
      <c r="E129" s="83">
        <v>28</v>
      </c>
      <c r="F129" s="83">
        <v>41</v>
      </c>
      <c r="G129" s="83">
        <v>54</v>
      </c>
      <c r="H129" s="90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434.50367999999997</v>
      </c>
      <c r="I129" s="84">
        <f>表9_15161718242930313233343540414261855122129176183777879808151[[#This Row],[B_Frame Max_BW
/Frame(Mbytes)]]*30</f>
        <v>1620</v>
      </c>
      <c r="U129" s="59"/>
      <c r="V129" s="24"/>
    </row>
    <row r="130" spans="1:22" x14ac:dyDescent="0.15">
      <c r="A130" s="81" t="s">
        <v>297</v>
      </c>
      <c r="B130" s="82">
        <v>397.14815999999996</v>
      </c>
      <c r="C130" s="90">
        <v>439.41888</v>
      </c>
      <c r="D130" s="82">
        <v>441.38496000000004</v>
      </c>
      <c r="E130" s="83">
        <v>28</v>
      </c>
      <c r="F130" s="83">
        <v>41</v>
      </c>
      <c r="G130" s="83">
        <v>53</v>
      </c>
      <c r="H130" s="90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441.38496000000004</v>
      </c>
      <c r="I130" s="84">
        <f>表9_15161718242930313233343540414261855122129176183777879808151[[#This Row],[B_Frame Max_BW
/Frame(Mbytes)]]*30</f>
        <v>1590</v>
      </c>
      <c r="U130" s="59"/>
      <c r="V130" s="24"/>
    </row>
    <row r="131" spans="1:22" x14ac:dyDescent="0.15">
      <c r="A131" s="85" t="s">
        <v>285</v>
      </c>
      <c r="B131" s="86">
        <v>371.58911999999998</v>
      </c>
      <c r="C131" s="91">
        <v>390.26688000000001</v>
      </c>
      <c r="D131" s="86">
        <v>385.35167999999999</v>
      </c>
      <c r="E131" s="87">
        <v>27</v>
      </c>
      <c r="F131" s="87">
        <v>44</v>
      </c>
      <c r="G131" s="87">
        <v>57</v>
      </c>
      <c r="H131" s="91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390.26688000000001</v>
      </c>
      <c r="I131" s="88">
        <f>表9_15161718242930313233343540414261855122129176183777879808151[[#This Row],[B_Frame Max_BW
/Frame(Mbytes)]]*30</f>
        <v>1710</v>
      </c>
      <c r="U131" s="59"/>
      <c r="V131" s="24"/>
    </row>
    <row r="132" spans="1:22" x14ac:dyDescent="0.15">
      <c r="A132" s="85" t="s">
        <v>298</v>
      </c>
      <c r="B132" s="86">
        <v>372.57216</v>
      </c>
      <c r="C132" s="91">
        <v>390.26688000000001</v>
      </c>
      <c r="D132" s="86">
        <v>390.26688000000001</v>
      </c>
      <c r="E132" s="87">
        <v>27</v>
      </c>
      <c r="F132" s="87">
        <v>42</v>
      </c>
      <c r="G132" s="87">
        <v>55</v>
      </c>
      <c r="H132" s="91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390.26688000000001</v>
      </c>
      <c r="I132" s="88">
        <f>表9_15161718242930313233343540414261855122129176183777879808151[[#This Row],[B_Frame Max_BW
/Frame(Mbytes)]]*30</f>
        <v>1650</v>
      </c>
      <c r="U132" s="59"/>
      <c r="V132" s="24"/>
    </row>
    <row r="133" spans="1:22" x14ac:dyDescent="0.15">
      <c r="A133" s="85" t="s">
        <v>299</v>
      </c>
      <c r="B133" s="86">
        <v>371.58911999999998</v>
      </c>
      <c r="C133" s="91">
        <v>396.16512</v>
      </c>
      <c r="D133" s="86">
        <v>378.47040000000004</v>
      </c>
      <c r="E133" s="87">
        <v>27</v>
      </c>
      <c r="F133" s="87">
        <v>41</v>
      </c>
      <c r="G133" s="87">
        <v>54</v>
      </c>
      <c r="H133" s="91">
        <f>(MAX(表9_15161718242930313233343540414261855122129176183777879808151[[#This Row],[Process I_Frame
Need Core_Freq(MHz) ]],表9_15161718242930313233343540414261855122129176183777879808151[[#This Row],[Process P_Frame
Need Core_Freq(MHz) ]],表9_15161718242930313233343540414261855122129176183777879808151[[#This Row],[Process B_Frame
Need Core_Freq(MHz)]]))</f>
        <v>396.16512</v>
      </c>
      <c r="I133" s="88">
        <f>表9_15161718242930313233343540414261855122129176183777879808151[[#This Row],[B_Frame Max_BW
/Frame(Mbytes)]]*30</f>
        <v>1620</v>
      </c>
    </row>
  </sheetData>
  <mergeCells count="2">
    <mergeCell ref="A1:K1"/>
    <mergeCell ref="A123:K123"/>
  </mergeCells>
  <phoneticPr fontId="2" type="noConversion"/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DDR4_HEVC ENC(SVN14702)</vt:lpstr>
      <vt:lpstr>DDR4_HEVC_ENC(SVN15040)</vt:lpstr>
      <vt:lpstr>DDR4_HEVC_ENC(SVN15532)</vt:lpstr>
      <vt:lpstr>HEVC_Enc_Performance_Summary</vt:lpstr>
      <vt:lpstr>DDR3_HEVC_ENC(SVN15532)</vt:lpstr>
      <vt:lpstr>DDR3_HEVC_ENC_CABAC</vt:lpstr>
      <vt:lpstr>DDR3_HEVC_ENC_10bit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2018-02-14T06:26:11Z</dcterms:modified>
</cp:coreProperties>
</file>