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ummary" sheetId="1" r:id="rId1"/>
    <sheet name="H264 Enc" sheetId="2" r:id="rId2"/>
    <sheet name="SecAxi On Vs Off" sheetId="3" r:id="rId3"/>
    <sheet name="HEVC ENC(13900)" sheetId="5" r:id="rId4"/>
    <sheet name="HEVC ENC()" sheetId="6" r:id="rId5"/>
    <sheet name="HEVC ENC(11549)" sheetId="4" r:id="rId6"/>
  </sheets>
  <calcPr calcId="152511"/>
</workbook>
</file>

<file path=xl/calcChain.xml><?xml version="1.0" encoding="utf-8"?>
<calcChain xmlns="http://schemas.openxmlformats.org/spreadsheetml/2006/main">
  <c r="E12" i="5" l="1"/>
  <c r="E69" i="5" l="1"/>
  <c r="F69" i="5"/>
  <c r="E74" i="5"/>
  <c r="F74" i="5"/>
  <c r="F73" i="5"/>
  <c r="E71" i="5"/>
  <c r="E70" i="5"/>
  <c r="F67" i="5"/>
  <c r="F68" i="5"/>
  <c r="F66" i="5"/>
  <c r="F61" i="5"/>
  <c r="G63" i="5"/>
  <c r="D63" i="5"/>
  <c r="G62" i="5"/>
  <c r="F64" i="5"/>
  <c r="F63" i="5"/>
  <c r="F62" i="5"/>
  <c r="D62" i="5"/>
  <c r="B64" i="5"/>
  <c r="B63" i="5"/>
  <c r="B62" i="5"/>
  <c r="E45" i="5" l="1"/>
  <c r="E44" i="5"/>
  <c r="E43" i="5"/>
  <c r="E42" i="5"/>
  <c r="E57" i="5"/>
  <c r="E56" i="5"/>
  <c r="E55" i="5"/>
  <c r="E54" i="5"/>
  <c r="E53" i="5"/>
  <c r="E52" i="5"/>
  <c r="E18" i="5"/>
  <c r="E19" i="5"/>
  <c r="E20" i="5"/>
  <c r="E21" i="5"/>
  <c r="E22" i="5"/>
  <c r="E23" i="5"/>
  <c r="E41" i="4" l="1"/>
  <c r="E42" i="4"/>
  <c r="E43" i="4"/>
  <c r="E40" i="4"/>
  <c r="G43" i="4"/>
  <c r="G42" i="4"/>
  <c r="G41" i="4"/>
  <c r="G40" i="4"/>
  <c r="G31" i="4"/>
  <c r="G32" i="4"/>
  <c r="G33" i="4"/>
  <c r="G30" i="4"/>
  <c r="E31" i="4"/>
  <c r="E32" i="4"/>
  <c r="E33" i="4"/>
  <c r="E30" i="4"/>
  <c r="D23" i="4" l="1"/>
  <c r="D22" i="4"/>
  <c r="D21" i="4"/>
  <c r="D20" i="4"/>
  <c r="D19" i="4"/>
  <c r="D18" i="4"/>
  <c r="D10" i="4"/>
  <c r="D11" i="4"/>
  <c r="D12" i="4"/>
  <c r="D13" i="4"/>
  <c r="D9" i="4"/>
  <c r="F9" i="2" l="1"/>
  <c r="F10" i="2"/>
  <c r="F11" i="2"/>
  <c r="F12" i="2"/>
  <c r="E9" i="2"/>
  <c r="E10" i="2"/>
  <c r="E11" i="2"/>
  <c r="E12" i="2"/>
  <c r="D9" i="2"/>
  <c r="C9" i="2"/>
  <c r="C10" i="2"/>
  <c r="C11" i="2"/>
  <c r="C12" i="2"/>
  <c r="B9" i="2"/>
  <c r="J26" i="3" l="1"/>
  <c r="J27" i="3"/>
  <c r="J28" i="3"/>
  <c r="J29" i="3"/>
  <c r="J13" i="3"/>
  <c r="J14" i="3"/>
  <c r="J15" i="3"/>
  <c r="J16" i="3"/>
  <c r="J17" i="3"/>
  <c r="J18" i="3"/>
  <c r="J19" i="3"/>
  <c r="J20" i="3"/>
  <c r="J21" i="3"/>
  <c r="J12" i="3"/>
  <c r="H29" i="3"/>
  <c r="I29" i="3" s="1"/>
  <c r="H28" i="3"/>
  <c r="I28" i="3" s="1"/>
  <c r="H27" i="3"/>
  <c r="I27" i="3" s="1"/>
  <c r="H26" i="3"/>
  <c r="I26" i="3" s="1"/>
  <c r="I13" i="3"/>
  <c r="I14" i="3"/>
  <c r="I15" i="3"/>
  <c r="I16" i="3"/>
  <c r="I17" i="3"/>
  <c r="I18" i="3"/>
  <c r="I19" i="3"/>
  <c r="I20" i="3"/>
  <c r="I21" i="3"/>
  <c r="I12" i="3"/>
  <c r="H13" i="3"/>
  <c r="H14" i="3"/>
  <c r="H15" i="3"/>
  <c r="H16" i="3"/>
  <c r="H17" i="3"/>
  <c r="H18" i="3"/>
  <c r="H19" i="3"/>
  <c r="H20" i="3"/>
  <c r="H21" i="3"/>
  <c r="H12" i="3"/>
  <c r="E29" i="3"/>
  <c r="F29" i="3" s="1"/>
  <c r="E28" i="3"/>
  <c r="F28" i="3" s="1"/>
  <c r="E27" i="3"/>
  <c r="F27" i="3" s="1"/>
  <c r="E26" i="3"/>
  <c r="F26" i="3" s="1"/>
  <c r="F13" i="3"/>
  <c r="F14" i="3"/>
  <c r="F15" i="3"/>
  <c r="F16" i="3"/>
  <c r="F17" i="3"/>
  <c r="F18" i="3"/>
  <c r="F19" i="3"/>
  <c r="F20" i="3"/>
  <c r="F21" i="3"/>
  <c r="F12" i="3"/>
  <c r="E21" i="3"/>
  <c r="E20" i="3"/>
  <c r="E19" i="3"/>
  <c r="E18" i="3"/>
  <c r="E17" i="3"/>
  <c r="E16" i="3"/>
  <c r="E15" i="3"/>
  <c r="E14" i="3"/>
  <c r="E13" i="3"/>
  <c r="E12" i="3"/>
  <c r="I82" i="3"/>
  <c r="I81" i="3"/>
  <c r="D81" i="3"/>
  <c r="N71" i="3"/>
  <c r="N72" i="3"/>
  <c r="N73" i="3"/>
  <c r="N70" i="3"/>
  <c r="L82" i="3"/>
  <c r="J82" i="3"/>
  <c r="G82" i="3"/>
  <c r="E82" i="3"/>
  <c r="D82" i="3"/>
  <c r="L81" i="3"/>
  <c r="J81" i="3"/>
  <c r="G81" i="3"/>
  <c r="E81" i="3"/>
  <c r="L61" i="3"/>
  <c r="J61" i="3"/>
  <c r="I61" i="3"/>
  <c r="L60" i="3"/>
  <c r="J60" i="3"/>
  <c r="I60" i="3"/>
  <c r="F61" i="3"/>
  <c r="F60" i="3"/>
  <c r="G60" i="3" s="1"/>
  <c r="D61" i="3"/>
  <c r="D60" i="3"/>
  <c r="C61" i="3"/>
  <c r="C60" i="3"/>
  <c r="N50" i="3"/>
  <c r="N51" i="3"/>
  <c r="N52" i="3"/>
  <c r="N53" i="3"/>
  <c r="N54" i="3"/>
  <c r="N55" i="3"/>
  <c r="N56" i="3"/>
  <c r="N57" i="3"/>
  <c r="N58" i="3"/>
  <c r="N49" i="3"/>
  <c r="E25" i="2"/>
  <c r="C25" i="2"/>
  <c r="E24" i="2"/>
  <c r="C24" i="2"/>
  <c r="E23" i="2"/>
  <c r="C23" i="2"/>
  <c r="E22" i="2"/>
  <c r="C22" i="2"/>
  <c r="G61" i="3" l="1"/>
</calcChain>
</file>

<file path=xl/sharedStrings.xml><?xml version="1.0" encoding="utf-8"?>
<sst xmlns="http://schemas.openxmlformats.org/spreadsheetml/2006/main" count="336" uniqueCount="121">
  <si>
    <t>Cases</t>
    <phoneticPr fontId="1" type="noConversion"/>
  </si>
  <si>
    <t>Bandwidth(MB/s)</t>
    <phoneticPr fontId="1" type="noConversion"/>
  </si>
  <si>
    <t>Ave.Cyc#/I</t>
    <phoneticPr fontId="1" type="noConversion"/>
  </si>
  <si>
    <t>Condition</t>
    <phoneticPr fontId="1" type="noConversion"/>
  </si>
  <si>
    <t>NOC 600MHz</t>
    <phoneticPr fontId="1" type="noConversion"/>
  </si>
  <si>
    <t>Display(1080p@60fps, 186.6MB/s)</t>
    <phoneticPr fontId="1" type="noConversion"/>
  </si>
  <si>
    <t>DDR4/64bit/1200MHz</t>
    <phoneticPr fontId="1" type="noConversion"/>
  </si>
  <si>
    <t>Ave.Cyc#/P</t>
    <phoneticPr fontId="1" type="noConversion"/>
  </si>
  <si>
    <t>P Required Freq.(MHz)</t>
    <phoneticPr fontId="1" type="noConversion"/>
  </si>
  <si>
    <t>I Required Freq.(MHz)</t>
    <phoneticPr fontId="1" type="noConversion"/>
  </si>
  <si>
    <t>Target</t>
    <phoneticPr fontId="1" type="noConversion"/>
  </si>
  <si>
    <t>1920x1080@60fps</t>
    <phoneticPr fontId="1" type="noConversion"/>
  </si>
  <si>
    <t>H264 SignOff</t>
    <phoneticPr fontId="1" type="noConversion"/>
  </si>
  <si>
    <t>450MHz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</si>
  <si>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H264Codec </t>
    </r>
    <r>
      <rPr>
        <b/>
        <sz val="11"/>
        <color rgb="FFFF0000"/>
        <rFont val="宋体"/>
        <family val="3"/>
        <charset val="134"/>
        <scheme val="minor"/>
      </rPr>
      <t>400</t>
    </r>
    <r>
      <rPr>
        <b/>
        <sz val="11"/>
        <color theme="1"/>
        <rFont val="宋体"/>
        <family val="3"/>
        <charset val="134"/>
        <scheme val="minor"/>
      </rPr>
      <t>MHz</t>
    </r>
    <phoneticPr fontId="1" type="noConversion"/>
  </si>
  <si>
    <r>
      <t xml:space="preserve">H264Codec </t>
    </r>
    <r>
      <rPr>
        <b/>
        <sz val="11"/>
        <color rgb="FFFF0000"/>
        <rFont val="宋体"/>
        <family val="3"/>
        <charset val="134"/>
        <scheme val="minor"/>
      </rPr>
      <t>200</t>
    </r>
    <r>
      <rPr>
        <b/>
        <sz val="11"/>
        <color theme="1"/>
        <rFont val="宋体"/>
        <family val="3"/>
        <charset val="134"/>
        <scheme val="minor"/>
      </rPr>
      <t>MHz</t>
    </r>
    <phoneticPr fontId="1" type="noConversion"/>
  </si>
  <si>
    <r>
      <t>H264Codec</t>
    </r>
    <r>
      <rPr>
        <b/>
        <sz val="11"/>
        <color rgb="FFFF0000"/>
        <rFont val="宋体"/>
        <family val="3"/>
        <charset val="134"/>
        <scheme val="minor"/>
      </rPr>
      <t xml:space="preserve"> 600</t>
    </r>
    <r>
      <rPr>
        <b/>
        <sz val="11"/>
        <color theme="1"/>
        <rFont val="宋体"/>
        <family val="3"/>
        <charset val="134"/>
        <scheme val="minor"/>
      </rPr>
      <t>MHz</t>
    </r>
    <phoneticPr fontId="1" type="noConversion"/>
  </si>
  <si>
    <t>DJI_00025_300f_rotate2_1080p</t>
    <phoneticPr fontId="1" type="noConversion"/>
  </si>
  <si>
    <t>DucksTakeOff_1080p</t>
    <phoneticPr fontId="1" type="noConversion"/>
  </si>
  <si>
    <t>ParkScene_1920x1080_24</t>
    <phoneticPr fontId="1" type="noConversion"/>
  </si>
  <si>
    <t>H264Secondary AXI ON</t>
    <phoneticPr fontId="1" type="noConversion"/>
  </si>
  <si>
    <t>Display()</t>
    <phoneticPr fontId="1" type="noConversion"/>
  </si>
  <si>
    <t>Display(OFF)</t>
    <phoneticPr fontId="1" type="noConversion"/>
  </si>
  <si>
    <t>H264Secondary AXI OFF</t>
    <phoneticPr fontId="1" type="noConversion"/>
  </si>
  <si>
    <t>DJI_00025_300f_rotate2_1080p</t>
    <phoneticPr fontId="1" type="noConversion"/>
  </si>
  <si>
    <t>FrameIdx</t>
    <phoneticPr fontId="1" type="noConversion"/>
  </si>
  <si>
    <t>TotalBW</t>
    <phoneticPr fontId="1" type="noConversion"/>
  </si>
  <si>
    <t>PriBW</t>
    <phoneticPr fontId="1" type="noConversion"/>
  </si>
  <si>
    <t>SecBW</t>
    <phoneticPr fontId="1" type="noConversion"/>
  </si>
  <si>
    <t>Cyc#</t>
    <phoneticPr fontId="1" type="noConversion"/>
  </si>
  <si>
    <t>Display On( 1080p@594MHzPclk )</t>
    <phoneticPr fontId="1" type="noConversion"/>
  </si>
  <si>
    <t>I</t>
    <phoneticPr fontId="1" type="noConversion"/>
  </si>
  <si>
    <t>P</t>
    <phoneticPr fontId="1" type="noConversion"/>
  </si>
  <si>
    <t>FrameType</t>
    <phoneticPr fontId="1" type="noConversion"/>
  </si>
  <si>
    <t>SecondaryAxiOn</t>
    <phoneticPr fontId="1" type="noConversion"/>
  </si>
  <si>
    <t>SecondaryAxiOff</t>
    <phoneticPr fontId="1" type="noConversion"/>
  </si>
  <si>
    <t>Perf_Diff</t>
    <phoneticPr fontId="1" type="noConversion"/>
  </si>
  <si>
    <t>Case:</t>
    <phoneticPr fontId="1" type="noConversion"/>
  </si>
  <si>
    <t>Encoder</t>
    <phoneticPr fontId="1" type="noConversion"/>
  </si>
  <si>
    <t>Summary</t>
    <phoneticPr fontId="1" type="noConversion"/>
  </si>
  <si>
    <t>Req.Freq.</t>
    <phoneticPr fontId="1" type="noConversion"/>
  </si>
  <si>
    <t>WrRd</t>
    <phoneticPr fontId="1" type="noConversion"/>
  </si>
  <si>
    <t>Pri.WrRd</t>
    <phoneticPr fontId="1" type="noConversion"/>
  </si>
  <si>
    <t>Sec.WrRd</t>
    <phoneticPr fontId="1" type="noConversion"/>
  </si>
  <si>
    <t>TotalBW</t>
    <phoneticPr fontId="1" type="noConversion"/>
  </si>
  <si>
    <t>Pri.BW</t>
    <phoneticPr fontId="1" type="noConversion"/>
  </si>
  <si>
    <t>Sec.BW</t>
    <phoneticPr fontId="1" type="noConversion"/>
  </si>
  <si>
    <t>Decoder</t>
    <phoneticPr fontId="1" type="noConversion"/>
  </si>
  <si>
    <t>Case:</t>
    <phoneticPr fontId="1" type="noConversion"/>
  </si>
  <si>
    <t>DJI_00025_300f_rotate2_1080p( //LnxShare/Video_Share/Data/secaxi_perf/enc/secaxioff )</t>
    <phoneticPr fontId="1" type="noConversion"/>
  </si>
  <si>
    <t>Bits</t>
    <phoneticPr fontId="1" type="noConversion"/>
  </si>
  <si>
    <t>SecondaryAxiOff</t>
    <phoneticPr fontId="1" type="noConversion"/>
  </si>
  <si>
    <t>SecondaryOn</t>
    <phoneticPr fontId="1" type="noConversion"/>
  </si>
  <si>
    <t>TotalBW</t>
    <phoneticPr fontId="1" type="noConversion"/>
  </si>
  <si>
    <t>QP: 32</t>
    <phoneticPr fontId="1" type="noConversion"/>
  </si>
  <si>
    <t>高码率：100Mbps+</t>
    <phoneticPr fontId="1" type="noConversion"/>
  </si>
  <si>
    <t>Summary</t>
    <phoneticPr fontId="1" type="noConversion"/>
  </si>
  <si>
    <t>FrameIdx</t>
    <phoneticPr fontId="1" type="noConversion"/>
  </si>
  <si>
    <t>FrameType</t>
    <phoneticPr fontId="1" type="noConversion"/>
  </si>
  <si>
    <t>Cyc#/Frame</t>
    <phoneticPr fontId="1" type="noConversion"/>
  </si>
  <si>
    <t>Req.Freq.( @60fps )</t>
    <phoneticPr fontId="7" type="noConversion"/>
  </si>
  <si>
    <t>I</t>
    <phoneticPr fontId="1" type="noConversion"/>
  </si>
  <si>
    <t>P</t>
    <phoneticPr fontId="1" type="noConversion"/>
  </si>
  <si>
    <t>Margin</t>
  </si>
  <si>
    <t>Margin</t>
    <phoneticPr fontId="1" type="noConversion"/>
  </si>
  <si>
    <t>SignOff Freq.</t>
    <phoneticPr fontId="7" type="noConversion"/>
  </si>
  <si>
    <t>&gt;25%</t>
    <phoneticPr fontId="1" type="noConversion"/>
  </si>
  <si>
    <t>Encoder (详细数据请参考下面， SOC环境测得，0负载）</t>
    <phoneticPr fontId="1" type="noConversion"/>
  </si>
  <si>
    <t>Decoder（详细数据请参考下面, IP自测试环境测得， 理想情况）</t>
    <phoneticPr fontId="1" type="noConversion"/>
  </si>
  <si>
    <t>Secondary AXI ON</t>
    <phoneticPr fontId="1" type="noConversion"/>
  </si>
  <si>
    <t>SecondaryAXIOFF</t>
    <phoneticPr fontId="1" type="noConversion"/>
  </si>
  <si>
    <t>Cyc#/Frame</t>
    <phoneticPr fontId="1" type="noConversion"/>
  </si>
  <si>
    <t>Req.Freq.( @60fps )</t>
  </si>
  <si>
    <t>Delta</t>
    <phoneticPr fontId="1" type="noConversion"/>
  </si>
  <si>
    <t>Ave.Cyc#/I (Mcycle)</t>
    <phoneticPr fontId="1" type="noConversion"/>
  </si>
  <si>
    <t>NOC/DDR Controller 600MHz</t>
    <phoneticPr fontId="1" type="noConversion"/>
  </si>
  <si>
    <t>Display On( 1080P@120fps )</t>
    <phoneticPr fontId="1" type="noConversion"/>
  </si>
  <si>
    <t>QP=32</t>
    <phoneticPr fontId="1" type="noConversion"/>
  </si>
  <si>
    <t>Sequence</t>
    <phoneticPr fontId="1" type="noConversion"/>
  </si>
  <si>
    <t>PicType</t>
    <phoneticPr fontId="1" type="noConversion"/>
  </si>
  <si>
    <t>Cyc#/Frame</t>
    <phoneticPr fontId="1" type="noConversion"/>
  </si>
  <si>
    <t>Target Freq. （for 4K@30fps + 1080p@30fps)</t>
    <phoneticPr fontId="1" type="noConversion"/>
  </si>
  <si>
    <t>DJI_00025_300f_rotate2_1080p</t>
    <phoneticPr fontId="1" type="noConversion"/>
  </si>
  <si>
    <t>DJI_00025_300f_rotate1_1080p.yuv</t>
    <phoneticPr fontId="1" type="noConversion"/>
  </si>
  <si>
    <t>IPPP, IntraNxN, cu8x8, cu16x16, cu32x32, DBK, SAO</t>
    <phoneticPr fontId="1" type="noConversion"/>
  </si>
  <si>
    <t>HEVC: 200MHz (CClk/ACLK/BCLK)</t>
    <phoneticPr fontId="1" type="noConversion"/>
  </si>
  <si>
    <t>P</t>
    <phoneticPr fontId="1" type="noConversion"/>
  </si>
  <si>
    <t>HEVC: 400MHz,</t>
    <phoneticPr fontId="1" type="noConversion"/>
  </si>
  <si>
    <t>Core Cycle/ 1080P</t>
    <phoneticPr fontId="1" type="noConversion"/>
  </si>
  <si>
    <t>rush_hour.yuv</t>
    <phoneticPr fontId="1" type="noConversion"/>
  </si>
  <si>
    <t>Cyc#/Frame2</t>
    <phoneticPr fontId="1" type="noConversion"/>
  </si>
  <si>
    <t>System Cycle</t>
    <phoneticPr fontId="1" type="noConversion"/>
  </si>
  <si>
    <t>HEVC:400MHz ( 3840x2160 )</t>
    <phoneticPr fontId="1" type="noConversion"/>
  </si>
  <si>
    <t>Core Cycle</t>
    <phoneticPr fontId="1" type="noConversion"/>
  </si>
  <si>
    <t>Target Freq. （ for 4K@30fps + 1080P30fps )</t>
    <phoneticPr fontId="1" type="noConversion"/>
  </si>
  <si>
    <t>B</t>
    <phoneticPr fontId="1" type="noConversion"/>
  </si>
  <si>
    <t>BW (MB)</t>
    <phoneticPr fontId="1" type="noConversion"/>
  </si>
  <si>
    <t>BW (MB)</t>
    <phoneticPr fontId="1" type="noConversion"/>
  </si>
  <si>
    <t>GOP: IPPP</t>
    <phoneticPr fontId="1" type="noConversion"/>
  </si>
  <si>
    <t>GOP: IPBPB</t>
    <phoneticPr fontId="1" type="noConversion"/>
  </si>
  <si>
    <t>I</t>
    <phoneticPr fontId="1" type="noConversion"/>
  </si>
  <si>
    <t>P</t>
    <phoneticPr fontId="1" type="noConversion"/>
  </si>
  <si>
    <t>Core Cyc#/Frame</t>
    <phoneticPr fontId="1" type="noConversion"/>
  </si>
  <si>
    <t>Cpu Cyc#/Frame</t>
    <phoneticPr fontId="1" type="noConversion"/>
  </si>
  <si>
    <t>GOP:IPBPBP, DDR4 W ECC @ 600MHz(1200MHz), NOC@600MHz</t>
    <phoneticPr fontId="1" type="noConversion"/>
  </si>
  <si>
    <t>Target Freq. （ for 4K@30fps )</t>
    <phoneticPr fontId="1" type="noConversion"/>
  </si>
  <si>
    <t>GOP:IPBPBP, DDR4 W ECC @ 300MHz(600MHz), NOC@600MHz</t>
    <phoneticPr fontId="1" type="noConversion"/>
  </si>
  <si>
    <t>GOP:IPBPBP, DDR4 W ECC @ 50MHz(100MHz), NOC@600MHz</t>
    <phoneticPr fontId="1" type="noConversion"/>
  </si>
  <si>
    <t>85e00000</t>
    <phoneticPr fontId="1" type="noConversion"/>
  </si>
  <si>
    <t>865e9000</t>
    <phoneticPr fontId="1" type="noConversion"/>
  </si>
  <si>
    <t>867e3400</t>
    <phoneticPr fontId="1" type="noConversion"/>
  </si>
  <si>
    <t>80000000</t>
    <phoneticPr fontId="1" type="noConversion"/>
  </si>
  <si>
    <t>86a00000</t>
    <phoneticPr fontId="1" type="noConversion"/>
  </si>
  <si>
    <t>871e9000</t>
    <phoneticPr fontId="1" type="noConversion"/>
  </si>
  <si>
    <t>873e3400</t>
    <phoneticPr fontId="1" type="noConversion"/>
  </si>
  <si>
    <t>87fe3400</t>
    <phoneticPr fontId="1" type="noConversion"/>
  </si>
  <si>
    <t>GOP:IPBPBP, DDR4 W ECC @ 100MHz(200MHz), NOC@600MHz</t>
    <phoneticPr fontId="1" type="noConversion"/>
  </si>
  <si>
    <t>GOP:IPBPBP, DDR4 W ECC @ 200MHz(400MHz), NOC@600MHz</t>
    <phoneticPr fontId="1" type="noConversion"/>
  </si>
  <si>
    <t>B</t>
    <phoneticPr fontId="1" type="noConversion"/>
  </si>
  <si>
    <t>P</t>
    <phoneticPr fontId="1" type="noConversion"/>
  </si>
  <si>
    <t>DJI_00025_300f_rotate1_1080p.yuv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</si>
</sst>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0_ "/>
    <numFmt numFmtId="178" formatCode="0.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ouble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Border="1" applyAlignment="1">
      <alignment horizontal="left"/>
    </xf>
    <xf numFmtId="0" fontId="3" fillId="0" borderId="2" xfId="0" applyFont="1" applyBorder="1"/>
    <xf numFmtId="0" fontId="0" fillId="0" borderId="2" xfId="0" applyBorder="1" applyAlignment="1">
      <alignment horizontal="left"/>
    </xf>
    <xf numFmtId="0" fontId="3" fillId="0" borderId="3" xfId="0" applyFont="1" applyBorder="1"/>
    <xf numFmtId="0" fontId="0" fillId="0" borderId="3" xfId="0" applyBorder="1" applyAlignment="1">
      <alignment horizontal="left"/>
    </xf>
    <xf numFmtId="0" fontId="3" fillId="0" borderId="4" xfId="0" applyFont="1" applyBorder="1"/>
    <xf numFmtId="0" fontId="0" fillId="0" borderId="4" xfId="0" applyBorder="1" applyAlignment="1">
      <alignment horizontal="left"/>
    </xf>
    <xf numFmtId="0" fontId="3" fillId="0" borderId="1" xfId="0" applyFont="1" applyBorder="1"/>
    <xf numFmtId="0" fontId="4" fillId="0" borderId="1" xfId="1" applyBorder="1" applyAlignment="1">
      <alignment horizontal="left"/>
    </xf>
    <xf numFmtId="0" fontId="0" fillId="0" borderId="1" xfId="0" applyBorder="1"/>
    <xf numFmtId="0" fontId="2" fillId="2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4" borderId="6" xfId="0" applyFont="1" applyFill="1" applyBorder="1"/>
    <xf numFmtId="0" fontId="0" fillId="0" borderId="6" xfId="0" applyFont="1" applyBorder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0" fontId="0" fillId="0" borderId="0" xfId="0" applyAlignment="1">
      <alignment vertical="center"/>
    </xf>
    <xf numFmtId="0" fontId="6" fillId="3" borderId="5" xfId="0" applyFont="1" applyFill="1" applyBorder="1" applyAlignment="1"/>
    <xf numFmtId="0" fontId="6" fillId="3" borderId="6" xfId="0" applyFont="1" applyFill="1" applyBorder="1" applyAlignment="1"/>
    <xf numFmtId="0" fontId="6" fillId="3" borderId="0" xfId="0" applyFont="1" applyFill="1" applyBorder="1" applyAlignment="1"/>
    <xf numFmtId="0" fontId="0" fillId="4" borderId="5" xfId="0" applyFont="1" applyFill="1" applyBorder="1" applyAlignment="1"/>
    <xf numFmtId="0" fontId="0" fillId="4" borderId="6" xfId="0" applyFont="1" applyFill="1" applyBorder="1" applyAlignment="1"/>
    <xf numFmtId="177" fontId="0" fillId="0" borderId="0" xfId="0" applyNumberFormat="1" applyAlignment="1">
      <alignment vertical="center"/>
    </xf>
    <xf numFmtId="0" fontId="0" fillId="0" borderId="5" xfId="0" applyFont="1" applyBorder="1" applyAlignment="1"/>
    <xf numFmtId="0" fontId="0" fillId="0" borderId="6" xfId="0" applyFont="1" applyBorder="1" applyAlignment="1"/>
    <xf numFmtId="0" fontId="2" fillId="0" borderId="0" xfId="0" applyFont="1" applyAlignment="1">
      <alignment vertical="center"/>
    </xf>
    <xf numFmtId="0" fontId="0" fillId="0" borderId="7" xfId="0" applyNumberFormat="1" applyBorder="1"/>
    <xf numFmtId="10" fontId="0" fillId="0" borderId="0" xfId="0" applyNumberFormat="1" applyBorder="1"/>
    <xf numFmtId="0" fontId="0" fillId="0" borderId="0" xfId="0" applyNumberFormat="1" applyBorder="1"/>
    <xf numFmtId="10" fontId="8" fillId="0" borderId="0" xfId="0" applyNumberFormat="1" applyFont="1"/>
    <xf numFmtId="178" fontId="0" fillId="0" borderId="0" xfId="0" applyNumberFormat="1"/>
    <xf numFmtId="0" fontId="3" fillId="0" borderId="0" xfId="0" applyFont="1"/>
    <xf numFmtId="11" fontId="0" fillId="0" borderId="0" xfId="0" quotePrefix="1" applyNumberFormat="1"/>
    <xf numFmtId="0" fontId="0" fillId="0" borderId="0" xfId="0" quotePrefix="1"/>
  </cellXfs>
  <cellStyles count="2">
    <cellStyle name="常规" xfId="0" builtinId="0"/>
    <cellStyle name="超链接" xfId="1" builtinId="8"/>
  </cellStyles>
  <dxfs count="56">
    <dxf>
      <numFmt numFmtId="177" formatCode="0_ "/>
    </dxf>
    <dxf>
      <numFmt numFmtId="177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7" formatCode="0_ "/>
    </dxf>
    <dxf>
      <numFmt numFmtId="177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7" formatCode="0_ "/>
    </dxf>
    <dxf>
      <numFmt numFmtId="177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7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7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7" formatCode="0_ "/>
    </dxf>
    <dxf>
      <numFmt numFmtId="177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7" formatCode="0_ "/>
    </dxf>
    <dxf>
      <numFmt numFmtId="177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7" formatCode="0_ "/>
    </dxf>
    <dxf>
      <numFmt numFmtId="177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7" formatCode="0_ "/>
    </dxf>
    <dxf>
      <numFmt numFmtId="177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7" formatCode="0_ "/>
    </dxf>
    <dxf>
      <numFmt numFmtId="177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4" formatCode="0.00%"/>
    </dxf>
    <dxf>
      <numFmt numFmtId="14" formatCode="0.00%"/>
    </dxf>
    <dxf>
      <numFmt numFmtId="177" formatCode="0_ "/>
    </dxf>
    <dxf>
      <numFmt numFmtId="0" formatCode="General"/>
    </dxf>
    <dxf>
      <border outline="0">
        <left style="double">
          <color auto="1"/>
        </left>
      </border>
    </dxf>
    <dxf>
      <font>
        <strike val="0"/>
        <outline val="0"/>
        <shadow val="0"/>
        <u val="none"/>
        <vertAlign val="baseline"/>
        <sz val="11"/>
        <color rgb="FFFF0000"/>
        <name val="宋体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  <color rgb="FFFF0000"/>
        <name val="宋体"/>
        <scheme val="minor"/>
      </font>
    </dxf>
    <dxf>
      <numFmt numFmtId="14" formatCode="0.00%"/>
    </dxf>
    <dxf>
      <numFmt numFmtId="177" formatCode="0_ "/>
    </dxf>
    <dxf>
      <numFmt numFmtId="0" formatCode="General"/>
    </dxf>
    <dxf>
      <border outline="0">
        <left style="double">
          <color auto="1"/>
        </left>
      </border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8:F12" totalsRowShown="0" headerRowDxfId="55" tableBorderDxfId="54">
  <autoFilter ref="A8:F12"/>
  <tableColumns count="6">
    <tableColumn id="1" name="Cases"/>
    <tableColumn id="2" name="Ave.Cyc#/I (Mcycle)" dataDxfId="53">
      <calculatedColumnFormula>'SecAxi On Vs Off'!I49/1000/1000</calculatedColumnFormula>
    </tableColumn>
    <tableColumn id="3" name="I Required Freq.(MHz)" dataDxfId="52">
      <calculatedColumnFormula>表2[[#This Row],[Ave.Cyc'#/I (Mcycle)]]*60</calculatedColumnFormula>
    </tableColumn>
    <tableColumn id="4" name="Ave.Cyc#/P" dataDxfId="51">
      <calculatedColumnFormula>AVERAGE('SecAxi On Vs Off'!I50:I58)/1000/1000</calculatedColumnFormula>
    </tableColumn>
    <tableColumn id="6" name="P Required Freq.(MHz)" dataDxfId="50">
      <calculatedColumnFormula>表2[[#This Row],[Ave.Cyc'#/P]]*60</calculatedColumnFormula>
    </tableColumn>
    <tableColumn id="5" name="Bandwidth(MB/s)" dataDxfId="49">
      <calculatedColumnFormula>'SecAxi On Vs Off'!J61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表11" displayName="表11" ref="J11:J21" totalsRowShown="0" dataDxfId="34">
  <autoFilter ref="J11:J21"/>
  <tableColumns count="1">
    <tableColumn id="1" name="Delta" dataDxfId="33">
      <calculatedColumnFormula>(G12-D12)/D12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12" name="表12" displayName="表12" ref="G25:I29" totalsRowShown="0" tableBorderDxfId="32">
  <autoFilter ref="G25:I29"/>
  <tableColumns count="3">
    <tableColumn id="1" name="Cyc#/Frame" dataDxfId="31"/>
    <tableColumn id="2" name="Req.Freq.( @60fps )" dataDxfId="30">
      <calculatedColumnFormula>G26*60/1000/1000</calculatedColumnFormula>
    </tableColumn>
    <tableColumn id="3" name="Margin" dataDxfId="29">
      <calculatedColumnFormula>($C$9-H26)/$C$9</calculatedColumnFormula>
    </tableColumn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3" name="表13" displayName="表13" ref="J25:J29" totalsRowShown="0">
  <autoFilter ref="J25:J29"/>
  <tableColumns count="1">
    <tableColumn id="1" name="Delta" dataDxfId="28">
      <calculatedColumnFormula>(G26-D26)/D26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17" name="表9_15161718" displayName="表9_15161718" ref="A17:F23" totalsRowShown="0" headerRowDxfId="27">
  <autoFilter ref="A17:F23"/>
  <tableColumns count="6">
    <tableColumn id="1" name="Sequence"/>
    <tableColumn id="2" name="PicType"/>
    <tableColumn id="3" name="Core Cyc#/Frame"/>
    <tableColumn id="4" name="Cpu Cyc#/Frame" dataDxfId="26"/>
    <tableColumn id="5" name="Target Freq. （ for 4K@30fps )" dataDxfId="25">
      <calculatedColumnFormula>表9_15161718[[#This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表9_1516171819" displayName="表9_1516171819" ref="A5:F12" totalsRowShown="0" headerRowDxfId="24">
  <autoFilter ref="A5:F12"/>
  <tableColumns count="6">
    <tableColumn id="1" name="Sequence"/>
    <tableColumn id="2" name="PicType"/>
    <tableColumn id="3" name="Core Cyc#/Frame"/>
    <tableColumn id="4" name="Cpu Cyc#/Frame" dataDxfId="23"/>
    <tableColumn id="5" name="Target Freq. （ for 4K@30fps + 1080P30fps )" dataDxfId="22">
      <calculatedColumnFormula>150*D6/1000/1000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表9_1516171820" displayName="表9_1516171820" ref="A51:F57" totalsRowShown="0" headerRowDxfId="21">
  <autoFilter ref="A51:F57"/>
  <tableColumns count="6">
    <tableColumn id="1" name="Sequence"/>
    <tableColumn id="2" name="PicType"/>
    <tableColumn id="3" name="Core Cyc#/Frame"/>
    <tableColumn id="4" name="Cpu Cyc#/Frame" dataDxfId="20"/>
    <tableColumn id="5" name="Target Freq. （ for 4K@30fps )" dataDxfId="19">
      <calculatedColumnFormula>表9_1516171820[[#This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表9_151617182021" displayName="表9_151617182021" ref="A39:F45" totalsRowShown="0" headerRowDxfId="18">
  <autoFilter ref="A39:F45"/>
  <tableColumns count="6">
    <tableColumn id="1" name="Sequence"/>
    <tableColumn id="2" name="PicType"/>
    <tableColumn id="3" name="Core Cyc#/Frame"/>
    <tableColumn id="4" name="Cpu Cyc#/Frame" dataDxfId="17"/>
    <tableColumn id="5" name="Target Freq. （ for 4K@30fps )" dataDxfId="16">
      <calculatedColumnFormula>表9_151617182021[[#This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表9_15161718202122" displayName="表9_15161718202122" ref="A28:F34" totalsRowShown="0" headerRowDxfId="15">
  <autoFilter ref="A28:F34"/>
  <tableColumns count="6">
    <tableColumn id="1" name="Sequence"/>
    <tableColumn id="2" name="PicType"/>
    <tableColumn id="3" name="Core Cyc#/Frame"/>
    <tableColumn id="4" name="Cpu Cyc#/Frame" dataDxfId="14"/>
    <tableColumn id="5" name="Target Freq. （ for 4K@30fps )" dataDxfId="13"/>
    <tableColumn id="6" name="BW (MB)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2" name="表9_151617181923" displayName="表9_151617181923" ref="A5:F11" totalsRowShown="0" headerRowDxfId="2">
  <autoFilter ref="A5:F11"/>
  <tableColumns count="6">
    <tableColumn id="1" name="Sequence"/>
    <tableColumn id="2" name="PicType"/>
    <tableColumn id="3" name="Core Cyc#/Frame"/>
    <tableColumn id="4" name="Cpu Cyc#/Frame" dataDxfId="1"/>
    <tableColumn id="5" name="Target Freq. （ for 4K@30fps + 1080P30fps )" dataDxfId="0">
      <calculatedColumnFormula>150*D6/1000/1000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9" name="表9" displayName="表9" ref="A8:D13" totalsRowShown="0" headerRowDxfId="12">
  <autoFilter ref="A8:D13"/>
  <tableColumns count="4">
    <tableColumn id="1" name="Sequence"/>
    <tableColumn id="2" name="PicType"/>
    <tableColumn id="3" name="Cyc#/Frame"/>
    <tableColumn id="4" name="Target Freq. （for 4K@30fps + 1080p@30fps)" dataDxfId="11">
      <calculatedColumnFormula>150*C9/1000/1000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2_4" displayName="表2_4" ref="A34:F38" totalsRowShown="0" headerRowDxfId="48" tableBorderDxfId="47">
  <autoFilter ref="A34:F38"/>
  <tableColumns count="6">
    <tableColumn id="1" name="Cases"/>
    <tableColumn id="2" name="Ave.Cyc#/I"/>
    <tableColumn id="3" name="I Required Freq.(MHz)" dataDxfId="46"/>
    <tableColumn id="4" name="Ave.Cyc#/P"/>
    <tableColumn id="6" name="P Required Freq.(MHz)" dataDxfId="45"/>
    <tableColumn id="5" name="Bandwidth(MB/s)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表9_15" displayName="表9_15" ref="A17:D23" totalsRowShown="0" headerRowDxfId="10">
  <autoFilter ref="A17:D23"/>
  <tableColumns count="4">
    <tableColumn id="1" name="Sequence"/>
    <tableColumn id="2" name="PicType"/>
    <tableColumn id="3" name="Cyc#/Frame"/>
    <tableColumn id="4" name="Target Freq. （for 4K@30fps + 1080p@30fps)" dataDxfId="9">
      <calculatedColumnFormula>150*C18/1000/1000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表9_1516" displayName="表9_1516" ref="A29:F35" totalsRowShown="0" headerRowDxfId="8">
  <autoFilter ref="A29:F35"/>
  <tableColumns count="6">
    <tableColumn id="1" name="Sequence"/>
    <tableColumn id="2" name="PicType"/>
    <tableColumn id="3" name="Cyc#/Frame"/>
    <tableColumn id="4" name="Cyc#/Frame2" dataDxfId="7"/>
    <tableColumn id="5" name="Target Freq. （ for 4K@30fps + 1080P30fps )" dataDxfId="6">
      <calculatedColumnFormula>150*D30/1000/1000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6" name="表9_151617" displayName="表9_151617" ref="A39:F45" totalsRowShown="0" headerRowDxfId="5">
  <autoFilter ref="A39:F45"/>
  <tableColumns count="6">
    <tableColumn id="1" name="Sequence"/>
    <tableColumn id="2" name="PicType"/>
    <tableColumn id="3" name="Cyc#/Frame"/>
    <tableColumn id="4" name="Cyc#/Frame2" dataDxfId="4"/>
    <tableColumn id="5" name="Target Freq. （ for 4K@30fps + 1080P30fps )" dataDxfId="3">
      <calculatedColumnFormula>150*D40/1000/1000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表2_45" displayName="表2_45" ref="A47:F51" totalsRowShown="0" headerRowDxfId="44" tableBorderDxfId="43">
  <autoFilter ref="A47:F51"/>
  <tableColumns count="6">
    <tableColumn id="1" name="Cases"/>
    <tableColumn id="2" name="Ave.Cyc#/I"/>
    <tableColumn id="3" name="I Required Freq.(MHz)"/>
    <tableColumn id="4" name="Ave.Cyc#/P"/>
    <tableColumn id="6" name="P Required Freq.(MHz)"/>
    <tableColumn id="5" name="Bandwidth(MB/s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表2_2" displayName="表2_2" ref="A21:F25" totalsRowShown="0" headerRowDxfId="42" tableBorderDxfId="41">
  <autoFilter ref="A21:F25"/>
  <tableColumns count="6">
    <tableColumn id="1" name="Cases"/>
    <tableColumn id="2" name="Ave.Cyc#/I"/>
    <tableColumn id="3" name="I Required Freq.(MHz)" dataDxfId="40">
      <calculatedColumnFormula>表2_2[[#This Row],[Ave.Cyc'#/I]]*60/1000/1000</calculatedColumnFormula>
    </tableColumn>
    <tableColumn id="4" name="Ave.Cyc#/P"/>
    <tableColumn id="6" name="P Required Freq.(MHz)" dataDxfId="39">
      <calculatedColumnFormula>表2_2[[#This Row],[Ave.Cyc'#/P]]*60/1000/1000</calculatedColumnFormula>
    </tableColumn>
    <tableColumn id="5" name="Bandwidth(MB/s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5" displayName="表5" ref="A48:F59" totalsRowShown="0">
  <autoFilter ref="A48:F59"/>
  <tableColumns count="6">
    <tableColumn id="1" name="FrameIdx"/>
    <tableColumn id="2" name="FrameType"/>
    <tableColumn id="3" name="Cyc#"/>
    <tableColumn id="4" name="WrRd"/>
    <tableColumn id="5" name="Pri.WrRd"/>
    <tableColumn id="6" name="Sec.Wr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表6" displayName="表6" ref="I48:K58" totalsRowShown="0">
  <autoFilter ref="I48:K58"/>
  <tableColumns count="3">
    <tableColumn id="1" name="Cyc#"/>
    <tableColumn id="2" name="TotalBW"/>
    <tableColumn id="3" name="PriBW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表5_8" displayName="表5_8" ref="A69:G82" totalsRowShown="0">
  <autoFilter ref="A69:G82"/>
  <tableColumns count="7">
    <tableColumn id="1" name="FrameIdx"/>
    <tableColumn id="2" name="FrameType"/>
    <tableColumn id="3" name="Bits"/>
    <tableColumn id="4" name="Cyc#"/>
    <tableColumn id="5" name="WrRd"/>
    <tableColumn id="6" name="Pri.WrRd"/>
    <tableColumn id="7" name="Sec.WrR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表6_9" displayName="表6_9" ref="I69:K79" totalsRowShown="0">
  <autoFilter ref="I69:K79"/>
  <tableColumns count="3">
    <tableColumn id="1" name="Cyc#"/>
    <tableColumn id="2" name="TotalBW"/>
    <tableColumn id="3" name="PriBW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表10" displayName="表10" ref="G11:I21" totalsRowShown="0" tableBorderDxfId="38">
  <autoFilter ref="G11:I21"/>
  <tableColumns count="3">
    <tableColumn id="1" name="Cyc#/Frame" dataDxfId="37"/>
    <tableColumn id="2" name="Req.Freq.( @60fps )" dataDxfId="36">
      <calculatedColumnFormula>G12*60/1000/1000</calculatedColumnFormula>
    </tableColumn>
    <tableColumn id="3" name="Margin" dataDxfId="35">
      <calculatedColumnFormula>($C$9-H12)/$C$9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1920x1080@60fps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1920x1080@60fps" TargetMode="External"/><Relationship Id="rId1" Type="http://schemas.openxmlformats.org/officeDocument/2006/relationships/hyperlink" Target="mailto:1920x1080@60fps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1920x1080@60fps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1920x1080@60fps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2" sqref="B4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sqref="A1:F11"/>
    </sheetView>
  </sheetViews>
  <sheetFormatPr defaultRowHeight="13.5" x14ac:dyDescent="0.15"/>
  <cols>
    <col min="1" max="1" width="31.625" bestFit="1" customWidth="1"/>
    <col min="2" max="2" width="35" bestFit="1" customWidth="1"/>
    <col min="3" max="3" width="26.5" bestFit="1" customWidth="1"/>
    <col min="4" max="4" width="15.25" bestFit="1" customWidth="1"/>
    <col min="5" max="5" width="26.5" customWidth="1"/>
    <col min="6" max="6" width="17.25" bestFit="1" customWidth="1"/>
  </cols>
  <sheetData>
    <row r="1" spans="1:11" x14ac:dyDescent="0.15">
      <c r="A1" s="9" t="s">
        <v>12</v>
      </c>
      <c r="B1" s="11" t="s">
        <v>13</v>
      </c>
    </row>
    <row r="2" spans="1:11" x14ac:dyDescent="0.15">
      <c r="A2" s="3" t="s">
        <v>3</v>
      </c>
      <c r="B2" s="4" t="s">
        <v>6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s="5"/>
      <c r="B3" s="6" t="s">
        <v>4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15">
      <c r="A4" s="5"/>
      <c r="B4" s="12" t="s">
        <v>15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15">
      <c r="A5" s="5"/>
      <c r="B5" s="13" t="s">
        <v>20</v>
      </c>
      <c r="C5" s="2"/>
      <c r="D5" s="2"/>
      <c r="E5" s="2"/>
      <c r="F5" s="2"/>
      <c r="G5" s="2"/>
      <c r="H5" s="2"/>
      <c r="I5" s="2"/>
      <c r="J5" s="2"/>
      <c r="K5" s="2"/>
    </row>
    <row r="6" spans="1:11" x14ac:dyDescent="0.15">
      <c r="A6" s="7"/>
      <c r="B6" s="8" t="s">
        <v>22</v>
      </c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9" t="s">
        <v>10</v>
      </c>
      <c r="B7" s="10" t="s">
        <v>11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1" t="s">
        <v>0</v>
      </c>
      <c r="B8" s="1" t="s">
        <v>74</v>
      </c>
      <c r="C8" s="1" t="s">
        <v>9</v>
      </c>
      <c r="D8" s="1" t="s">
        <v>7</v>
      </c>
      <c r="E8" s="1" t="s">
        <v>8</v>
      </c>
      <c r="F8" s="1" t="s">
        <v>1</v>
      </c>
    </row>
    <row r="9" spans="1:11" x14ac:dyDescent="0.15">
      <c r="A9" t="s">
        <v>24</v>
      </c>
      <c r="B9" s="33">
        <f>'SecAxi On Vs Off'!I49/1000/1000</f>
        <v>4.5626600000000002</v>
      </c>
      <c r="C9" s="17">
        <f>表2[[#This Row],[Ave.Cyc'#/I (Mcycle)]]*60</f>
        <v>273.75960000000003</v>
      </c>
      <c r="D9" s="33">
        <f>AVERAGE('SecAxi On Vs Off'!I50:I58)/1000/1000</f>
        <v>4.3270606666666671</v>
      </c>
      <c r="E9" s="17">
        <f>表2[[#This Row],[Ave.Cyc'#/P]]*60</f>
        <v>259.62364000000002</v>
      </c>
      <c r="F9" s="17">
        <f>'SecAxi On Vs Off'!J61</f>
        <v>491.54693603515631</v>
      </c>
    </row>
    <row r="10" spans="1:11" x14ac:dyDescent="0.15">
      <c r="A10" t="s">
        <v>18</v>
      </c>
      <c r="C10">
        <f>表2[[#This Row],[Ave.Cyc'#/I (Mcycle)]]*60</f>
        <v>0</v>
      </c>
      <c r="E10">
        <f>表2[[#This Row],[Ave.Cyc'#/P]]*60</f>
        <v>0</v>
      </c>
      <c r="F10">
        <f>'SecAxi On Vs Off'!J62</f>
        <v>0</v>
      </c>
    </row>
    <row r="11" spans="1:11" x14ac:dyDescent="0.15">
      <c r="A11" t="s">
        <v>19</v>
      </c>
      <c r="C11">
        <f>表2[[#This Row],[Ave.Cyc'#/I (Mcycle)]]*60</f>
        <v>0</v>
      </c>
      <c r="E11">
        <f>表2[[#This Row],[Ave.Cyc'#/P]]*60</f>
        <v>0</v>
      </c>
      <c r="F11">
        <f>'SecAxi On Vs Off'!J63</f>
        <v>0</v>
      </c>
    </row>
    <row r="12" spans="1:11" x14ac:dyDescent="0.15">
      <c r="C12">
        <f>表2[[#This Row],[Ave.Cyc'#/I (Mcycle)]]*60</f>
        <v>0</v>
      </c>
      <c r="E12">
        <f>表2[[#This Row],[Ave.Cyc'#/P]]*60</f>
        <v>0</v>
      </c>
      <c r="F12">
        <f>'SecAxi On Vs Off'!J64</f>
        <v>0</v>
      </c>
    </row>
    <row r="15" spans="1:11" x14ac:dyDescent="0.15">
      <c r="A15" s="3" t="s">
        <v>3</v>
      </c>
      <c r="B15" s="4" t="s">
        <v>6</v>
      </c>
      <c r="C15" s="2"/>
      <c r="D15" s="2"/>
      <c r="E15" s="2"/>
      <c r="F15" s="2"/>
    </row>
    <row r="16" spans="1:11" x14ac:dyDescent="0.15">
      <c r="A16" s="5"/>
      <c r="B16" s="6" t="s">
        <v>4</v>
      </c>
      <c r="C16" s="2"/>
      <c r="D16" s="2"/>
      <c r="E16" s="2"/>
      <c r="F16" s="2"/>
    </row>
    <row r="17" spans="1:6" x14ac:dyDescent="0.15">
      <c r="A17" s="5"/>
      <c r="B17" s="12" t="s">
        <v>15</v>
      </c>
      <c r="C17" s="2"/>
      <c r="D17" s="2"/>
      <c r="E17" s="2"/>
      <c r="F17" s="2"/>
    </row>
    <row r="18" spans="1:6" x14ac:dyDescent="0.15">
      <c r="A18" s="5"/>
      <c r="B18" s="13" t="s">
        <v>23</v>
      </c>
      <c r="C18" s="2"/>
      <c r="D18" s="2"/>
      <c r="E18" s="2"/>
      <c r="F18" s="2"/>
    </row>
    <row r="19" spans="1:6" x14ac:dyDescent="0.15">
      <c r="A19" s="7"/>
      <c r="B19" s="8" t="s">
        <v>21</v>
      </c>
      <c r="C19" s="2"/>
      <c r="D19" s="2"/>
      <c r="E19" s="2"/>
      <c r="F19" s="2"/>
    </row>
    <row r="20" spans="1:6" x14ac:dyDescent="0.15">
      <c r="A20" s="9" t="s">
        <v>10</v>
      </c>
      <c r="B20" s="10" t="s">
        <v>11</v>
      </c>
      <c r="C20" s="2"/>
      <c r="D20" s="2"/>
      <c r="E20" s="2"/>
      <c r="F20" s="2"/>
    </row>
    <row r="21" spans="1:6" x14ac:dyDescent="0.15">
      <c r="A21" s="1" t="s">
        <v>0</v>
      </c>
      <c r="B21" s="1" t="s">
        <v>2</v>
      </c>
      <c r="C21" s="1" t="s">
        <v>9</v>
      </c>
      <c r="D21" s="1" t="s">
        <v>7</v>
      </c>
      <c r="E21" s="1" t="s">
        <v>8</v>
      </c>
      <c r="F21" s="1" t="s">
        <v>1</v>
      </c>
    </row>
    <row r="22" spans="1:6" x14ac:dyDescent="0.15">
      <c r="A22" t="s">
        <v>17</v>
      </c>
      <c r="B22">
        <v>4567371</v>
      </c>
      <c r="C22">
        <f>表2_2[[#This Row],[Ave.Cyc'#/I]]*60/1000/1000</f>
        <v>274.04226</v>
      </c>
      <c r="D22">
        <v>4275908</v>
      </c>
      <c r="E22">
        <f>表2_2[[#This Row],[Ave.Cyc'#/P]]*60/1000/1000</f>
        <v>256.55448000000001</v>
      </c>
    </row>
    <row r="23" spans="1:6" x14ac:dyDescent="0.15">
      <c r="A23" t="s">
        <v>18</v>
      </c>
      <c r="C23">
        <f>表2_2[[#This Row],[Ave.Cyc'#/I]]*60/1000/1000</f>
        <v>0</v>
      </c>
      <c r="E23">
        <f>表2_2[[#This Row],[Ave.Cyc'#/P]]*60/1000/1000</f>
        <v>0</v>
      </c>
    </row>
    <row r="24" spans="1:6" x14ac:dyDescent="0.15">
      <c r="A24" t="s">
        <v>19</v>
      </c>
      <c r="C24">
        <f>表2_2[[#This Row],[Ave.Cyc'#/I]]*60/1000/1000</f>
        <v>0</v>
      </c>
      <c r="E24">
        <f>表2_2[[#This Row],[Ave.Cyc'#/P]]*60/1000/1000</f>
        <v>0</v>
      </c>
    </row>
    <row r="25" spans="1:6" x14ac:dyDescent="0.15">
      <c r="C25">
        <f>表2_2[[#This Row],[Ave.Cyc'#/I]]*60/1000/1000</f>
        <v>0</v>
      </c>
      <c r="E25">
        <f>表2_2[[#This Row],[Ave.Cyc'#/P]]*60/1000/1000</f>
        <v>0</v>
      </c>
    </row>
    <row r="29" spans="1:6" x14ac:dyDescent="0.15">
      <c r="A29" s="3" t="s">
        <v>3</v>
      </c>
      <c r="B29" s="4" t="s">
        <v>6</v>
      </c>
      <c r="C29" s="2"/>
      <c r="D29" s="2"/>
      <c r="E29" s="2"/>
      <c r="F29" s="2"/>
    </row>
    <row r="30" spans="1:6" x14ac:dyDescent="0.15">
      <c r="A30" s="5"/>
      <c r="B30" s="6" t="s">
        <v>4</v>
      </c>
      <c r="C30" s="2"/>
      <c r="D30" s="2"/>
      <c r="E30" s="2"/>
      <c r="F30" s="2"/>
    </row>
    <row r="31" spans="1:6" x14ac:dyDescent="0.15">
      <c r="A31" s="5"/>
      <c r="B31" s="12" t="s">
        <v>14</v>
      </c>
      <c r="C31" s="2"/>
      <c r="D31" s="2"/>
      <c r="E31" s="2"/>
      <c r="F31" s="2"/>
    </row>
    <row r="32" spans="1:6" x14ac:dyDescent="0.15">
      <c r="A32" s="7"/>
      <c r="B32" s="8" t="s">
        <v>5</v>
      </c>
      <c r="C32" s="2"/>
      <c r="D32" s="2"/>
      <c r="E32" s="2"/>
      <c r="F32" s="2"/>
    </row>
    <row r="33" spans="1:6" x14ac:dyDescent="0.15">
      <c r="A33" s="9" t="s">
        <v>10</v>
      </c>
      <c r="B33" s="10" t="s">
        <v>11</v>
      </c>
      <c r="C33" s="2"/>
      <c r="D33" s="2"/>
      <c r="E33" s="2"/>
      <c r="F33" s="2"/>
    </row>
    <row r="34" spans="1:6" x14ac:dyDescent="0.15">
      <c r="A34" s="1" t="s">
        <v>0</v>
      </c>
      <c r="B34" s="1" t="s">
        <v>2</v>
      </c>
      <c r="C34" s="1" t="s">
        <v>9</v>
      </c>
      <c r="D34" s="1" t="s">
        <v>7</v>
      </c>
      <c r="E34" s="1" t="s">
        <v>8</v>
      </c>
      <c r="F34" s="1" t="s">
        <v>1</v>
      </c>
    </row>
    <row r="42" spans="1:6" x14ac:dyDescent="0.15">
      <c r="A42" s="3" t="s">
        <v>3</v>
      </c>
      <c r="B42" s="4" t="s">
        <v>6</v>
      </c>
      <c r="C42" s="2"/>
      <c r="D42" s="2"/>
      <c r="E42" s="2"/>
      <c r="F42" s="2"/>
    </row>
    <row r="43" spans="1:6" x14ac:dyDescent="0.15">
      <c r="A43" s="5"/>
      <c r="B43" s="6" t="s">
        <v>4</v>
      </c>
      <c r="C43" s="2"/>
      <c r="D43" s="2"/>
      <c r="E43" s="2"/>
      <c r="F43" s="2"/>
    </row>
    <row r="44" spans="1:6" x14ac:dyDescent="0.15">
      <c r="A44" s="5"/>
      <c r="B44" s="12" t="s">
        <v>16</v>
      </c>
      <c r="C44" s="2"/>
      <c r="D44" s="2"/>
      <c r="E44" s="2"/>
      <c r="F44" s="2"/>
    </row>
    <row r="45" spans="1:6" x14ac:dyDescent="0.15">
      <c r="A45" s="7"/>
      <c r="B45" s="8" t="s">
        <v>5</v>
      </c>
      <c r="C45" s="2"/>
      <c r="D45" s="2"/>
      <c r="E45" s="2"/>
      <c r="F45" s="2"/>
    </row>
    <row r="46" spans="1:6" x14ac:dyDescent="0.15">
      <c r="A46" s="9" t="s">
        <v>10</v>
      </c>
      <c r="B46" s="10" t="s">
        <v>11</v>
      </c>
      <c r="C46" s="2"/>
      <c r="D46" s="2"/>
      <c r="E46" s="2"/>
      <c r="F46" s="2"/>
    </row>
    <row r="47" spans="1:6" x14ac:dyDescent="0.15">
      <c r="A47" s="1" t="s">
        <v>0</v>
      </c>
      <c r="B47" s="1" t="s">
        <v>2</v>
      </c>
      <c r="C47" s="1" t="s">
        <v>9</v>
      </c>
      <c r="D47" s="1" t="s">
        <v>7</v>
      </c>
      <c r="E47" s="1" t="s">
        <v>8</v>
      </c>
      <c r="F47" s="1" t="s">
        <v>1</v>
      </c>
    </row>
  </sheetData>
  <phoneticPr fontId="1" type="noConversion"/>
  <hyperlinks>
    <hyperlink ref="B7" r:id="rId1"/>
    <hyperlink ref="B46" r:id="rId2"/>
    <hyperlink ref="B33" r:id="rId3"/>
    <hyperlink ref="B20" r:id="rId4"/>
  </hyperlinks>
  <pageMargins left="0.7" right="0.7" top="0.75" bottom="0.75" header="0.3" footer="0.3"/>
  <pageSetup paperSize="9" orientation="portrait" horizontalDpi="0" verticalDpi="0" r:id="rId5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46" zoomScale="130" zoomScaleNormal="130" workbookViewId="0">
      <selection activeCell="B55" sqref="B55"/>
    </sheetView>
  </sheetViews>
  <sheetFormatPr defaultRowHeight="13.5" x14ac:dyDescent="0.15"/>
  <cols>
    <col min="1" max="1" width="11.75" customWidth="1"/>
    <col min="2" max="2" width="22.75" bestFit="1" customWidth="1"/>
    <col min="4" max="4" width="10.625" customWidth="1"/>
    <col min="5" max="5" width="18.125" customWidth="1"/>
    <col min="7" max="7" width="15" bestFit="1" customWidth="1"/>
    <col min="8" max="8" width="24.125" customWidth="1"/>
    <col min="9" max="9" width="9.5" customWidth="1"/>
    <col min="10" max="10" width="10.625" customWidth="1"/>
  </cols>
  <sheetData>
    <row r="1" spans="1:10" x14ac:dyDescent="0.15">
      <c r="A1" s="3" t="s">
        <v>3</v>
      </c>
      <c r="B1" s="4" t="s">
        <v>6</v>
      </c>
    </row>
    <row r="2" spans="1:10" x14ac:dyDescent="0.15">
      <c r="A2" s="5"/>
      <c r="B2" s="6" t="s">
        <v>4</v>
      </c>
    </row>
    <row r="3" spans="1:10" x14ac:dyDescent="0.15">
      <c r="A3" s="5"/>
      <c r="B3" s="12" t="s">
        <v>15</v>
      </c>
    </row>
    <row r="4" spans="1:10" x14ac:dyDescent="0.15">
      <c r="A4" s="5"/>
      <c r="B4" s="13"/>
    </row>
    <row r="5" spans="1:10" x14ac:dyDescent="0.15">
      <c r="A5" s="7"/>
      <c r="B5" s="8" t="s">
        <v>30</v>
      </c>
    </row>
    <row r="6" spans="1:10" x14ac:dyDescent="0.15">
      <c r="A6" s="9" t="s">
        <v>10</v>
      </c>
      <c r="B6" s="10" t="s">
        <v>11</v>
      </c>
    </row>
    <row r="8" spans="1:10" x14ac:dyDescent="0.15">
      <c r="A8" t="s">
        <v>56</v>
      </c>
      <c r="B8" t="s">
        <v>67</v>
      </c>
    </row>
    <row r="9" spans="1:10" x14ac:dyDescent="0.15">
      <c r="B9" s="28" t="s">
        <v>65</v>
      </c>
      <c r="C9" s="19">
        <v>400</v>
      </c>
      <c r="D9" s="19"/>
      <c r="E9" s="19"/>
      <c r="F9" t="s">
        <v>66</v>
      </c>
    </row>
    <row r="10" spans="1:10" x14ac:dyDescent="0.15">
      <c r="B10" s="28" t="s">
        <v>69</v>
      </c>
      <c r="C10" s="19"/>
      <c r="D10" s="19"/>
      <c r="E10" s="19"/>
      <c r="G10" s="1" t="s">
        <v>70</v>
      </c>
    </row>
    <row r="11" spans="1:10" x14ac:dyDescent="0.15">
      <c r="B11" s="20" t="s">
        <v>57</v>
      </c>
      <c r="C11" s="21" t="s">
        <v>58</v>
      </c>
      <c r="D11" s="21" t="s">
        <v>59</v>
      </c>
      <c r="E11" s="22" t="s">
        <v>60</v>
      </c>
      <c r="F11" s="22" t="s">
        <v>64</v>
      </c>
      <c r="G11" s="30" t="s">
        <v>71</v>
      </c>
      <c r="H11" t="s">
        <v>72</v>
      </c>
      <c r="I11" t="s">
        <v>63</v>
      </c>
      <c r="J11" t="s">
        <v>73</v>
      </c>
    </row>
    <row r="12" spans="1:10" x14ac:dyDescent="0.15">
      <c r="B12" s="23">
        <v>0</v>
      </c>
      <c r="C12" s="24" t="s">
        <v>61</v>
      </c>
      <c r="D12" s="24">
        <v>4567439</v>
      </c>
      <c r="E12" s="25">
        <f>D12*60/1000/1000</f>
        <v>274.04634000000004</v>
      </c>
      <c r="F12" s="18">
        <f>($C$9 - E12)/$C$9</f>
        <v>0.31488414999999992</v>
      </c>
      <c r="G12" s="31">
        <v>4562660</v>
      </c>
      <c r="H12" s="17">
        <f>G12*60/1000/1000</f>
        <v>273.75959999999998</v>
      </c>
      <c r="I12" s="18">
        <f>($C$9-H12)/$C$9</f>
        <v>0.31560100000000008</v>
      </c>
      <c r="J12" s="32">
        <f t="shared" ref="J12:J21" si="0">(G12-D12)/D12</f>
        <v>-1.0463193925523691E-3</v>
      </c>
    </row>
    <row r="13" spans="1:10" x14ac:dyDescent="0.15">
      <c r="B13" s="26">
        <v>1</v>
      </c>
      <c r="C13" s="27" t="s">
        <v>62</v>
      </c>
      <c r="D13" s="27">
        <v>4315057</v>
      </c>
      <c r="E13" s="25">
        <f t="shared" ref="E13:E21" si="1">D13*60/1000/1000</f>
        <v>258.90342000000004</v>
      </c>
      <c r="F13" s="18">
        <f t="shared" ref="F13:F21" si="2">($C$9 - E13)/$C$9</f>
        <v>0.3527414499999999</v>
      </c>
      <c r="G13" s="31">
        <v>4327869</v>
      </c>
      <c r="H13" s="17">
        <f t="shared" ref="H13:H21" si="3">G13*60/1000/1000</f>
        <v>259.67214000000001</v>
      </c>
      <c r="I13" s="18">
        <f t="shared" ref="I13:I21" si="4">($C$9-H13)/$C$9</f>
        <v>0.35081964999999998</v>
      </c>
      <c r="J13" s="32">
        <f t="shared" si="0"/>
        <v>2.9691380670058354E-3</v>
      </c>
    </row>
    <row r="14" spans="1:10" x14ac:dyDescent="0.15">
      <c r="B14" s="23">
        <v>2</v>
      </c>
      <c r="C14" s="24" t="s">
        <v>62</v>
      </c>
      <c r="D14" s="24">
        <v>4314944</v>
      </c>
      <c r="E14" s="25">
        <f t="shared" si="1"/>
        <v>258.89663999999999</v>
      </c>
      <c r="F14" s="18">
        <f t="shared" si="2"/>
        <v>0.35275840000000003</v>
      </c>
      <c r="G14" s="31">
        <v>4327489</v>
      </c>
      <c r="H14" s="17">
        <f t="shared" si="3"/>
        <v>259.64934</v>
      </c>
      <c r="I14" s="18">
        <f t="shared" si="4"/>
        <v>0.35087665000000001</v>
      </c>
      <c r="J14" s="32">
        <f t="shared" si="0"/>
        <v>2.9073378472582725E-3</v>
      </c>
    </row>
    <row r="15" spans="1:10" x14ac:dyDescent="0.15">
      <c r="B15" s="26">
        <v>3</v>
      </c>
      <c r="C15" s="27" t="s">
        <v>62</v>
      </c>
      <c r="D15" s="27">
        <v>4308353</v>
      </c>
      <c r="E15" s="25">
        <f t="shared" si="1"/>
        <v>258.50117999999998</v>
      </c>
      <c r="F15" s="18">
        <f t="shared" si="2"/>
        <v>0.35374705000000006</v>
      </c>
      <c r="G15" s="31">
        <v>4317108</v>
      </c>
      <c r="H15" s="17">
        <f t="shared" si="3"/>
        <v>259.02647999999999</v>
      </c>
      <c r="I15" s="18">
        <f t="shared" si="4"/>
        <v>0.35243380000000002</v>
      </c>
      <c r="J15" s="32">
        <f t="shared" si="0"/>
        <v>2.0320990410952863E-3</v>
      </c>
    </row>
    <row r="16" spans="1:10" x14ac:dyDescent="0.15">
      <c r="B16" s="23">
        <v>4</v>
      </c>
      <c r="C16" s="24" t="s">
        <v>62</v>
      </c>
      <c r="D16" s="24">
        <v>4291725</v>
      </c>
      <c r="E16" s="25">
        <f t="shared" si="1"/>
        <v>257.50349999999997</v>
      </c>
      <c r="F16" s="18">
        <f t="shared" si="2"/>
        <v>0.35624125000000006</v>
      </c>
      <c r="G16" s="31">
        <v>4298831</v>
      </c>
      <c r="H16" s="17">
        <f t="shared" si="3"/>
        <v>257.92985999999996</v>
      </c>
      <c r="I16" s="18">
        <f t="shared" si="4"/>
        <v>0.35517535000000011</v>
      </c>
      <c r="J16" s="32">
        <f t="shared" si="0"/>
        <v>1.655744485026417E-3</v>
      </c>
    </row>
    <row r="17" spans="2:10" x14ac:dyDescent="0.15">
      <c r="B17" s="26">
        <v>5</v>
      </c>
      <c r="C17" s="27" t="s">
        <v>62</v>
      </c>
      <c r="D17" s="27">
        <v>4307624</v>
      </c>
      <c r="E17" s="25">
        <f t="shared" si="1"/>
        <v>258.45744000000002</v>
      </c>
      <c r="F17" s="18">
        <f t="shared" si="2"/>
        <v>0.35385639999999996</v>
      </c>
      <c r="G17" s="31">
        <v>4320459</v>
      </c>
      <c r="H17" s="17">
        <f t="shared" si="3"/>
        <v>259.22754000000003</v>
      </c>
      <c r="I17" s="18">
        <f t="shared" si="4"/>
        <v>0.35193114999999991</v>
      </c>
      <c r="J17" s="32">
        <f t="shared" si="0"/>
        <v>2.9796008193844216E-3</v>
      </c>
    </row>
    <row r="18" spans="2:10" x14ac:dyDescent="0.15">
      <c r="B18" s="23">
        <v>6</v>
      </c>
      <c r="C18" s="24" t="s">
        <v>62</v>
      </c>
      <c r="D18" s="24">
        <v>4314139</v>
      </c>
      <c r="E18" s="25">
        <f t="shared" si="1"/>
        <v>258.84834000000001</v>
      </c>
      <c r="F18" s="18">
        <f t="shared" si="2"/>
        <v>0.35287914999999997</v>
      </c>
      <c r="G18" s="31">
        <v>4327083</v>
      </c>
      <c r="H18" s="17">
        <f t="shared" si="3"/>
        <v>259.62497999999999</v>
      </c>
      <c r="I18" s="18">
        <f t="shared" si="4"/>
        <v>0.35093755000000004</v>
      </c>
      <c r="J18" s="32">
        <f t="shared" si="0"/>
        <v>3.0003669330079534E-3</v>
      </c>
    </row>
    <row r="19" spans="2:10" x14ac:dyDescent="0.15">
      <c r="B19" s="26">
        <v>7</v>
      </c>
      <c r="C19" s="27" t="s">
        <v>62</v>
      </c>
      <c r="D19" s="27">
        <v>4337175</v>
      </c>
      <c r="E19" s="25">
        <f t="shared" si="1"/>
        <v>260.23050000000001</v>
      </c>
      <c r="F19" s="18">
        <f t="shared" si="2"/>
        <v>0.34942374999999998</v>
      </c>
      <c r="G19" s="31">
        <v>4350106</v>
      </c>
      <c r="H19" s="17">
        <f t="shared" si="3"/>
        <v>261.00635999999997</v>
      </c>
      <c r="I19" s="18">
        <f t="shared" si="4"/>
        <v>0.34748410000000007</v>
      </c>
      <c r="J19" s="32">
        <f t="shared" si="0"/>
        <v>2.9814337673716184E-3</v>
      </c>
    </row>
    <row r="20" spans="2:10" x14ac:dyDescent="0.15">
      <c r="B20" s="23">
        <v>8</v>
      </c>
      <c r="C20" s="24" t="s">
        <v>62</v>
      </c>
      <c r="D20" s="24">
        <v>4305934</v>
      </c>
      <c r="E20" s="25">
        <f t="shared" si="1"/>
        <v>258.35604000000001</v>
      </c>
      <c r="F20" s="18">
        <f t="shared" si="2"/>
        <v>0.35410989999999998</v>
      </c>
      <c r="G20" s="31">
        <v>4315407</v>
      </c>
      <c r="H20" s="17">
        <f t="shared" si="3"/>
        <v>258.92442</v>
      </c>
      <c r="I20" s="18">
        <f t="shared" si="4"/>
        <v>0.35268895</v>
      </c>
      <c r="J20" s="32">
        <f t="shared" si="0"/>
        <v>2.1999872733766937E-3</v>
      </c>
    </row>
    <row r="21" spans="2:10" x14ac:dyDescent="0.15">
      <c r="B21" s="26">
        <v>9</v>
      </c>
      <c r="C21" s="27" t="s">
        <v>62</v>
      </c>
      <c r="D21" s="27">
        <v>4342096</v>
      </c>
      <c r="E21" s="25">
        <f t="shared" si="1"/>
        <v>260.52575999999999</v>
      </c>
      <c r="F21" s="18">
        <f t="shared" si="2"/>
        <v>0.34868560000000004</v>
      </c>
      <c r="G21" s="31">
        <v>4359194</v>
      </c>
      <c r="H21" s="17">
        <f t="shared" si="3"/>
        <v>261.55164000000002</v>
      </c>
      <c r="I21" s="18">
        <f t="shared" si="4"/>
        <v>0.34612089999999995</v>
      </c>
      <c r="J21" s="32">
        <f t="shared" si="0"/>
        <v>3.9377296126110522E-3</v>
      </c>
    </row>
    <row r="23" spans="2:10" x14ac:dyDescent="0.15">
      <c r="B23" t="s">
        <v>68</v>
      </c>
    </row>
    <row r="24" spans="2:10" x14ac:dyDescent="0.15">
      <c r="B24" s="19" t="s">
        <v>65</v>
      </c>
      <c r="C24" s="19">
        <v>400</v>
      </c>
      <c r="D24" s="19"/>
      <c r="E24" s="19"/>
      <c r="F24" t="s">
        <v>66</v>
      </c>
    </row>
    <row r="25" spans="2:10" x14ac:dyDescent="0.15">
      <c r="B25" s="20" t="s">
        <v>57</v>
      </c>
      <c r="C25" s="21" t="s">
        <v>58</v>
      </c>
      <c r="D25" s="21" t="s">
        <v>59</v>
      </c>
      <c r="E25" s="22" t="s">
        <v>60</v>
      </c>
      <c r="F25" s="22" t="s">
        <v>64</v>
      </c>
      <c r="G25" s="30" t="s">
        <v>71</v>
      </c>
      <c r="H25" t="s">
        <v>72</v>
      </c>
      <c r="I25" t="s">
        <v>63</v>
      </c>
      <c r="J25" t="s">
        <v>73</v>
      </c>
    </row>
    <row r="26" spans="2:10" x14ac:dyDescent="0.15">
      <c r="B26" s="23">
        <v>0</v>
      </c>
      <c r="C26" s="24" t="s">
        <v>61</v>
      </c>
      <c r="D26" s="14">
        <v>5939925</v>
      </c>
      <c r="E26" s="25">
        <f>D26*60/1000/1000</f>
        <v>356.39550000000003</v>
      </c>
      <c r="F26" s="18">
        <f>($C$9 - E26)/$C$9</f>
        <v>0.10901124999999993</v>
      </c>
      <c r="G26" s="31">
        <v>5939100</v>
      </c>
      <c r="H26" s="17">
        <f>G26*60/1000/1000</f>
        <v>356.346</v>
      </c>
      <c r="I26" s="18">
        <f>($C$9-H26)/$C$9</f>
        <v>0.109135</v>
      </c>
      <c r="J26" s="18">
        <f t="shared" ref="J26:J29" si="5">(G26-D26)/D26</f>
        <v>-1.3889064255861818E-4</v>
      </c>
    </row>
    <row r="27" spans="2:10" x14ac:dyDescent="0.15">
      <c r="B27" s="26">
        <v>1</v>
      </c>
      <c r="C27" s="27" t="s">
        <v>62</v>
      </c>
      <c r="D27" s="15">
        <v>4217218</v>
      </c>
      <c r="E27" s="25">
        <f t="shared" ref="E27:E29" si="6">D27*60/1000/1000</f>
        <v>253.03307999999998</v>
      </c>
      <c r="F27" s="18">
        <f t="shared" ref="F27:F29" si="7">($C$9 - E27)/$C$9</f>
        <v>0.36741730000000006</v>
      </c>
      <c r="G27" s="31">
        <v>4653530</v>
      </c>
      <c r="H27" s="17">
        <f t="shared" ref="H27:H29" si="8">G27*60/1000/1000</f>
        <v>279.21179999999998</v>
      </c>
      <c r="I27" s="18">
        <f t="shared" ref="I27:I29" si="9">($C$9-H27)/$C$9</f>
        <v>0.30197050000000003</v>
      </c>
      <c r="J27" s="18">
        <f t="shared" si="5"/>
        <v>0.10345967412640276</v>
      </c>
    </row>
    <row r="28" spans="2:10" x14ac:dyDescent="0.15">
      <c r="B28" s="23">
        <v>2</v>
      </c>
      <c r="C28" s="24" t="s">
        <v>62</v>
      </c>
      <c r="D28" s="14">
        <v>4569112</v>
      </c>
      <c r="E28" s="25">
        <f t="shared" si="6"/>
        <v>274.14671999999996</v>
      </c>
      <c r="F28" s="18">
        <f t="shared" si="7"/>
        <v>0.31463320000000011</v>
      </c>
      <c r="G28" s="31">
        <v>4870166</v>
      </c>
      <c r="H28" s="17">
        <f t="shared" si="8"/>
        <v>292.20996000000002</v>
      </c>
      <c r="I28" s="18">
        <f t="shared" si="9"/>
        <v>0.26947509999999997</v>
      </c>
      <c r="J28" s="18">
        <f t="shared" si="5"/>
        <v>6.5888951726287295E-2</v>
      </c>
    </row>
    <row r="29" spans="2:10" x14ac:dyDescent="0.15">
      <c r="B29" s="26">
        <v>3</v>
      </c>
      <c r="C29" s="27" t="s">
        <v>62</v>
      </c>
      <c r="D29" s="15">
        <v>4322522</v>
      </c>
      <c r="E29" s="25">
        <f t="shared" si="6"/>
        <v>259.35131999999999</v>
      </c>
      <c r="F29" s="18">
        <f t="shared" si="7"/>
        <v>0.35162170000000004</v>
      </c>
      <c r="G29" s="31">
        <v>4649123</v>
      </c>
      <c r="H29" s="17">
        <f t="shared" si="8"/>
        <v>278.94738000000001</v>
      </c>
      <c r="I29" s="18">
        <f t="shared" si="9"/>
        <v>0.30263154999999997</v>
      </c>
      <c r="J29" s="18">
        <f t="shared" si="5"/>
        <v>7.5557972868616985E-2</v>
      </c>
    </row>
    <row r="30" spans="2:10" x14ac:dyDescent="0.15">
      <c r="B30" s="23"/>
      <c r="C30" s="24"/>
      <c r="D30" s="24"/>
      <c r="E30" s="25"/>
      <c r="F30" s="18"/>
      <c r="G30" s="29"/>
      <c r="H30" s="17"/>
      <c r="I30" s="18"/>
      <c r="J30" s="18"/>
    </row>
    <row r="31" spans="2:10" x14ac:dyDescent="0.15">
      <c r="B31" s="26"/>
      <c r="C31" s="27"/>
      <c r="D31" s="27"/>
      <c r="E31" s="25"/>
      <c r="F31" s="18"/>
      <c r="G31" s="29"/>
      <c r="H31" s="17"/>
      <c r="I31" s="18"/>
      <c r="J31" s="18"/>
    </row>
    <row r="32" spans="2:10" x14ac:dyDescent="0.15">
      <c r="B32" s="23"/>
      <c r="C32" s="24"/>
      <c r="D32" s="24"/>
      <c r="E32" s="25"/>
      <c r="F32" s="18"/>
      <c r="G32" s="29"/>
      <c r="H32" s="17"/>
      <c r="I32" s="18"/>
      <c r="J32" s="18"/>
    </row>
    <row r="33" spans="1:14" x14ac:dyDescent="0.15">
      <c r="B33" s="26"/>
      <c r="C33" s="27"/>
      <c r="D33" s="27"/>
      <c r="E33" s="25"/>
      <c r="F33" s="18"/>
      <c r="G33" s="29"/>
      <c r="H33" s="17"/>
      <c r="I33" s="18"/>
      <c r="J33" s="18"/>
    </row>
    <row r="34" spans="1:14" x14ac:dyDescent="0.15">
      <c r="B34" s="23"/>
      <c r="C34" s="24"/>
      <c r="D34" s="24"/>
      <c r="E34" s="25"/>
      <c r="F34" s="18"/>
      <c r="G34" s="29"/>
      <c r="H34" s="17"/>
      <c r="I34" s="18"/>
      <c r="J34" s="18"/>
    </row>
    <row r="35" spans="1:14" x14ac:dyDescent="0.15">
      <c r="B35" s="26"/>
      <c r="C35" s="27"/>
      <c r="D35" s="27"/>
      <c r="E35" s="25"/>
      <c r="F35" s="18"/>
      <c r="G35" s="29"/>
      <c r="H35" s="17"/>
      <c r="I35" s="18"/>
      <c r="J35" s="18"/>
    </row>
    <row r="45" spans="1:14" x14ac:dyDescent="0.15">
      <c r="A45" s="1" t="s">
        <v>38</v>
      </c>
      <c r="B45" s="1"/>
    </row>
    <row r="46" spans="1:14" x14ac:dyDescent="0.15">
      <c r="A46" s="1" t="s">
        <v>37</v>
      </c>
      <c r="B46" s="1" t="s">
        <v>82</v>
      </c>
      <c r="D46" t="s">
        <v>54</v>
      </c>
    </row>
    <row r="47" spans="1:14" x14ac:dyDescent="0.15">
      <c r="A47" s="1"/>
      <c r="B47" s="1" t="s">
        <v>34</v>
      </c>
      <c r="I47" s="1" t="s">
        <v>35</v>
      </c>
    </row>
    <row r="48" spans="1:14" x14ac:dyDescent="0.15">
      <c r="A48" t="s">
        <v>25</v>
      </c>
      <c r="B48" t="s">
        <v>33</v>
      </c>
      <c r="C48" t="s">
        <v>29</v>
      </c>
      <c r="D48" t="s">
        <v>41</v>
      </c>
      <c r="E48" t="s">
        <v>42</v>
      </c>
      <c r="F48" t="s">
        <v>43</v>
      </c>
      <c r="I48" t="s">
        <v>29</v>
      </c>
      <c r="J48" t="s">
        <v>26</v>
      </c>
      <c r="K48" t="s">
        <v>27</v>
      </c>
      <c r="L48" t="s">
        <v>28</v>
      </c>
      <c r="N48" t="s">
        <v>36</v>
      </c>
    </row>
    <row r="49" spans="1:14" x14ac:dyDescent="0.15">
      <c r="A49">
        <v>0</v>
      </c>
      <c r="B49" t="s">
        <v>31</v>
      </c>
      <c r="C49">
        <v>4567439</v>
      </c>
      <c r="D49">
        <v>6494032</v>
      </c>
      <c r="E49">
        <v>3917392</v>
      </c>
      <c r="F49">
        <v>2576640</v>
      </c>
      <c r="I49">
        <v>4562660</v>
      </c>
      <c r="J49">
        <v>6494032</v>
      </c>
      <c r="L49">
        <v>0</v>
      </c>
      <c r="N49" s="16">
        <f>(表6[[#This Row],[Cyc'#]]-表5[[#This Row],[Cyc'#]])/表5[[#This Row],[Cyc'#]]</f>
        <v>-1.0463193925523691E-3</v>
      </c>
    </row>
    <row r="50" spans="1:14" x14ac:dyDescent="0.15">
      <c r="A50">
        <v>1</v>
      </c>
      <c r="B50" t="s">
        <v>32</v>
      </c>
      <c r="C50">
        <v>4315057</v>
      </c>
      <c r="D50">
        <v>8709912</v>
      </c>
      <c r="E50">
        <v>6133272</v>
      </c>
      <c r="F50">
        <v>2576640</v>
      </c>
      <c r="I50">
        <v>4327869</v>
      </c>
      <c r="J50">
        <v>8709912</v>
      </c>
      <c r="L50">
        <v>0</v>
      </c>
      <c r="N50" s="16">
        <f>(表6[[#This Row],[Cyc'#]]-表5[[#This Row],[Cyc'#]])/表5[[#This Row],[Cyc'#]]</f>
        <v>2.9691380670058354E-3</v>
      </c>
    </row>
    <row r="51" spans="1:14" x14ac:dyDescent="0.15">
      <c r="A51">
        <v>2</v>
      </c>
      <c r="B51" t="s">
        <v>32</v>
      </c>
      <c r="C51">
        <v>4314944</v>
      </c>
      <c r="D51">
        <v>8703040</v>
      </c>
      <c r="E51">
        <v>6126400</v>
      </c>
      <c r="F51">
        <v>2576640</v>
      </c>
      <c r="I51">
        <v>4327489</v>
      </c>
      <c r="J51">
        <v>8703040</v>
      </c>
      <c r="L51">
        <v>0</v>
      </c>
      <c r="N51" s="16">
        <f>(表6[[#This Row],[Cyc'#]]-表5[[#This Row],[Cyc'#]])/表5[[#This Row],[Cyc'#]]</f>
        <v>2.9073378472582725E-3</v>
      </c>
    </row>
    <row r="52" spans="1:14" x14ac:dyDescent="0.15">
      <c r="A52">
        <v>3</v>
      </c>
      <c r="B52" t="s">
        <v>32</v>
      </c>
      <c r="C52">
        <v>4308353</v>
      </c>
      <c r="D52">
        <v>8515816</v>
      </c>
      <c r="E52">
        <v>5939176</v>
      </c>
      <c r="F52">
        <v>2576640</v>
      </c>
      <c r="I52">
        <v>4317108</v>
      </c>
      <c r="J52">
        <v>8515816</v>
      </c>
      <c r="L52">
        <v>0</v>
      </c>
      <c r="N52" s="16">
        <f>(表6[[#This Row],[Cyc'#]]-表5[[#This Row],[Cyc'#]])/表5[[#This Row],[Cyc'#]]</f>
        <v>2.0320990410952863E-3</v>
      </c>
    </row>
    <row r="53" spans="1:14" x14ac:dyDescent="0.15">
      <c r="A53">
        <v>4</v>
      </c>
      <c r="B53" t="s">
        <v>32</v>
      </c>
      <c r="C53">
        <v>4291725</v>
      </c>
      <c r="D53">
        <v>8286688</v>
      </c>
      <c r="E53">
        <v>5710048</v>
      </c>
      <c r="F53">
        <v>2576640</v>
      </c>
      <c r="I53">
        <v>4298831</v>
      </c>
      <c r="J53">
        <v>8286688</v>
      </c>
      <c r="L53">
        <v>0</v>
      </c>
      <c r="N53" s="16">
        <f>(表6[[#This Row],[Cyc'#]]-表5[[#This Row],[Cyc'#]])/表5[[#This Row],[Cyc'#]]</f>
        <v>1.655744485026417E-3</v>
      </c>
    </row>
    <row r="54" spans="1:14" x14ac:dyDescent="0.15">
      <c r="A54">
        <v>5</v>
      </c>
      <c r="B54" t="s">
        <v>32</v>
      </c>
      <c r="C54">
        <v>4307624</v>
      </c>
      <c r="D54">
        <v>8575064</v>
      </c>
      <c r="E54">
        <v>5998424</v>
      </c>
      <c r="F54">
        <v>2576640</v>
      </c>
      <c r="I54">
        <v>4320459</v>
      </c>
      <c r="J54">
        <v>8575064</v>
      </c>
      <c r="L54">
        <v>0</v>
      </c>
      <c r="N54" s="16">
        <f>(表6[[#This Row],[Cyc'#]]-表5[[#This Row],[Cyc'#]])/表5[[#This Row],[Cyc'#]]</f>
        <v>2.9796008193844216E-3</v>
      </c>
    </row>
    <row r="55" spans="1:14" x14ac:dyDescent="0.15">
      <c r="A55">
        <v>6</v>
      </c>
      <c r="B55" t="s">
        <v>32</v>
      </c>
      <c r="C55">
        <v>4314139</v>
      </c>
      <c r="D55">
        <v>8737528</v>
      </c>
      <c r="E55">
        <v>6160888</v>
      </c>
      <c r="F55">
        <v>2576640</v>
      </c>
      <c r="I55">
        <v>4327083</v>
      </c>
      <c r="J55">
        <v>8737528</v>
      </c>
      <c r="L55">
        <v>0</v>
      </c>
      <c r="N55" s="16">
        <f>(表6[[#This Row],[Cyc'#]]-表5[[#This Row],[Cyc'#]])/表5[[#This Row],[Cyc'#]]</f>
        <v>3.0003669330079534E-3</v>
      </c>
    </row>
    <row r="56" spans="1:14" x14ac:dyDescent="0.15">
      <c r="A56">
        <v>7</v>
      </c>
      <c r="B56" t="s">
        <v>32</v>
      </c>
      <c r="C56">
        <v>4337175</v>
      </c>
      <c r="D56">
        <v>8666520</v>
      </c>
      <c r="E56">
        <v>6089880</v>
      </c>
      <c r="F56">
        <v>2576640</v>
      </c>
      <c r="I56">
        <v>4350106</v>
      </c>
      <c r="J56">
        <v>8666520</v>
      </c>
      <c r="L56">
        <v>0</v>
      </c>
      <c r="N56" s="16">
        <f>(表6[[#This Row],[Cyc'#]]-表5[[#This Row],[Cyc'#]])/表5[[#This Row],[Cyc'#]]</f>
        <v>2.9814337673716184E-3</v>
      </c>
    </row>
    <row r="57" spans="1:14" x14ac:dyDescent="0.15">
      <c r="A57">
        <v>8</v>
      </c>
      <c r="B57" t="s">
        <v>32</v>
      </c>
      <c r="C57">
        <v>4305934</v>
      </c>
      <c r="D57">
        <v>8486632</v>
      </c>
      <c r="E57">
        <v>5909992</v>
      </c>
      <c r="F57">
        <v>2576640</v>
      </c>
      <c r="I57">
        <v>4315407</v>
      </c>
      <c r="J57">
        <v>8486632</v>
      </c>
      <c r="L57">
        <v>0</v>
      </c>
      <c r="N57" s="16">
        <f>(表6[[#This Row],[Cyc'#]]-表5[[#This Row],[Cyc'#]])/表5[[#This Row],[Cyc'#]]</f>
        <v>2.1999872733766937E-3</v>
      </c>
    </row>
    <row r="58" spans="1:14" x14ac:dyDescent="0.15">
      <c r="A58">
        <v>9</v>
      </c>
      <c r="B58" t="s">
        <v>32</v>
      </c>
      <c r="C58">
        <v>4342096</v>
      </c>
      <c r="D58">
        <v>8632448</v>
      </c>
      <c r="E58">
        <v>6055808</v>
      </c>
      <c r="F58">
        <v>2576640</v>
      </c>
      <c r="I58">
        <v>4359194</v>
      </c>
      <c r="J58">
        <v>8632448</v>
      </c>
      <c r="L58">
        <v>0</v>
      </c>
      <c r="N58" s="16">
        <f>(表6[[#This Row],[Cyc'#]]-表5[[#This Row],[Cyc'#]])/表5[[#This Row],[Cyc'#]]</f>
        <v>3.9377296126110522E-3</v>
      </c>
    </row>
    <row r="59" spans="1:14" x14ac:dyDescent="0.15">
      <c r="C59" s="1" t="s">
        <v>40</v>
      </c>
      <c r="D59" s="1" t="s">
        <v>44</v>
      </c>
      <c r="E59" s="1" t="s">
        <v>45</v>
      </c>
      <c r="F59" s="1" t="s">
        <v>46</v>
      </c>
      <c r="I59" s="1" t="s">
        <v>40</v>
      </c>
      <c r="J59" s="1" t="s">
        <v>44</v>
      </c>
      <c r="K59" s="1" t="s">
        <v>45</v>
      </c>
      <c r="L59" s="1" t="s">
        <v>46</v>
      </c>
    </row>
    <row r="60" spans="1:14" x14ac:dyDescent="0.15">
      <c r="A60" t="s">
        <v>39</v>
      </c>
      <c r="B60" t="s">
        <v>31</v>
      </c>
      <c r="C60" s="17">
        <f>C49*60/1000/1000</f>
        <v>274.04634000000004</v>
      </c>
      <c r="D60" s="17">
        <f>D49*60/1024/1024</f>
        <v>371.59149169921875</v>
      </c>
      <c r="E60" s="17"/>
      <c r="F60" s="17">
        <f>AVERAGE(F49:F58)*60/1024/1024</f>
        <v>147.4365234375</v>
      </c>
      <c r="G60" s="18">
        <f>(F60)/D60</f>
        <v>0.39677045016100937</v>
      </c>
      <c r="I60" s="17">
        <f>I49*60/1000/1000</f>
        <v>273.75959999999998</v>
      </c>
      <c r="J60" s="17">
        <f>J49*60/1024/1024</f>
        <v>371.59149169921875</v>
      </c>
      <c r="K60" s="17"/>
      <c r="L60" s="17">
        <f>AVERAGE(L49:L58)*60/1024/1024</f>
        <v>0</v>
      </c>
      <c r="M60" s="17"/>
      <c r="N60" s="17"/>
    </row>
    <row r="61" spans="1:14" x14ac:dyDescent="0.15">
      <c r="B61" t="s">
        <v>32</v>
      </c>
      <c r="C61" s="17">
        <f>AVERAGE(C50:C58)*60/1000/1000</f>
        <v>258.91364666666664</v>
      </c>
      <c r="D61" s="17">
        <f>AVERAGE(D50:D58)*60/1024/1024</f>
        <v>491.54693603515631</v>
      </c>
      <c r="E61" s="17"/>
      <c r="F61" s="17">
        <f>AVERAGE(F49:F58)*60/1024/1024</f>
        <v>147.4365234375</v>
      </c>
      <c r="G61" s="18">
        <f>(F61)/D61</f>
        <v>0.29994393745331999</v>
      </c>
      <c r="I61" s="17">
        <f>AVERAGE(I50:I58)*60/1000/1000</f>
        <v>259.62364000000002</v>
      </c>
      <c r="J61" s="17">
        <f>AVERAGE(J50:J58)*60/1024/1024</f>
        <v>491.54693603515631</v>
      </c>
      <c r="K61" s="17"/>
      <c r="L61" s="17">
        <f>AVERAGE(L49:L58)*60/1024/1024</f>
        <v>0</v>
      </c>
      <c r="M61" s="17"/>
      <c r="N61" s="17"/>
    </row>
    <row r="66" spans="1:14" x14ac:dyDescent="0.15">
      <c r="A66" s="1" t="s">
        <v>47</v>
      </c>
      <c r="B66" t="s">
        <v>55</v>
      </c>
    </row>
    <row r="67" spans="1:14" x14ac:dyDescent="0.15">
      <c r="A67" s="1" t="s">
        <v>48</v>
      </c>
      <c r="B67" s="1" t="s">
        <v>49</v>
      </c>
    </row>
    <row r="68" spans="1:14" x14ac:dyDescent="0.15">
      <c r="A68" s="1"/>
      <c r="B68" s="1" t="s">
        <v>52</v>
      </c>
      <c r="I68" s="1" t="s">
        <v>51</v>
      </c>
    </row>
    <row r="69" spans="1:14" x14ac:dyDescent="0.15">
      <c r="A69" t="s">
        <v>25</v>
      </c>
      <c r="B69" t="s">
        <v>33</v>
      </c>
      <c r="C69" t="s">
        <v>50</v>
      </c>
      <c r="D69" t="s">
        <v>29</v>
      </c>
      <c r="E69" t="s">
        <v>41</v>
      </c>
      <c r="F69" t="s">
        <v>42</v>
      </c>
      <c r="G69" t="s">
        <v>43</v>
      </c>
      <c r="I69" t="s">
        <v>29</v>
      </c>
      <c r="J69" t="s">
        <v>53</v>
      </c>
      <c r="K69" t="s">
        <v>27</v>
      </c>
      <c r="L69" t="s">
        <v>28</v>
      </c>
      <c r="N69" t="s">
        <v>36</v>
      </c>
    </row>
    <row r="70" spans="1:14" x14ac:dyDescent="0.15">
      <c r="A70">
        <v>0</v>
      </c>
      <c r="B70" t="s">
        <v>31</v>
      </c>
      <c r="C70">
        <v>4985895</v>
      </c>
      <c r="D70">
        <v>5939925</v>
      </c>
      <c r="E70">
        <v>8186400</v>
      </c>
      <c r="F70">
        <v>4177440</v>
      </c>
      <c r="G70">
        <v>4008960</v>
      </c>
      <c r="I70">
        <v>5939100</v>
      </c>
      <c r="J70">
        <v>8186400</v>
      </c>
      <c r="L70">
        <v>0</v>
      </c>
      <c r="N70" s="16">
        <f>(表6_9[[#This Row],[Cyc'#]]-表5_8[[#This Row],[Cyc'#]])/表6_9[[#This Row],[Cyc'#]]</f>
        <v>-1.3890993584886598E-4</v>
      </c>
    </row>
    <row r="71" spans="1:14" x14ac:dyDescent="0.15">
      <c r="A71">
        <v>1</v>
      </c>
      <c r="B71" t="s">
        <v>32</v>
      </c>
      <c r="C71">
        <v>2197968</v>
      </c>
      <c r="D71">
        <v>4217218</v>
      </c>
      <c r="E71">
        <v>15247648</v>
      </c>
      <c r="F71">
        <v>11745696</v>
      </c>
      <c r="G71">
        <v>3501952</v>
      </c>
      <c r="I71">
        <v>4653530</v>
      </c>
      <c r="J71">
        <v>15247648</v>
      </c>
      <c r="N71" s="16">
        <f>(表6_9[[#This Row],[Cyc'#]]-表5_8[[#This Row],[Cyc'#]])/表6_9[[#This Row],[Cyc'#]]</f>
        <v>9.375936117313094E-2</v>
      </c>
    </row>
    <row r="72" spans="1:14" x14ac:dyDescent="0.15">
      <c r="A72">
        <v>2</v>
      </c>
      <c r="B72" t="s">
        <v>32</v>
      </c>
      <c r="C72">
        <v>2464514</v>
      </c>
      <c r="D72">
        <v>4569112</v>
      </c>
      <c r="E72">
        <v>15075784</v>
      </c>
      <c r="F72">
        <v>11571848</v>
      </c>
      <c r="G72">
        <v>3503936</v>
      </c>
      <c r="I72">
        <v>4870166</v>
      </c>
      <c r="J72">
        <v>15075784</v>
      </c>
      <c r="N72" s="16">
        <f>(表6_9[[#This Row],[Cyc'#]]-表5_8[[#This Row],[Cyc'#]])/表6_9[[#This Row],[Cyc'#]]</f>
        <v>6.1815962741311077E-2</v>
      </c>
    </row>
    <row r="73" spans="1:14" x14ac:dyDescent="0.15">
      <c r="A73">
        <v>3</v>
      </c>
      <c r="B73" t="s">
        <v>32</v>
      </c>
      <c r="C73">
        <v>2002889</v>
      </c>
      <c r="D73">
        <v>4322522</v>
      </c>
      <c r="E73">
        <v>14601352</v>
      </c>
      <c r="F73">
        <v>11100360</v>
      </c>
      <c r="G73">
        <v>3500992</v>
      </c>
      <c r="I73">
        <v>4649123</v>
      </c>
      <c r="J73">
        <v>14601352</v>
      </c>
      <c r="N73" s="16">
        <f>(表6_9[[#This Row],[Cyc'#]]-表5_8[[#This Row],[Cyc'#]])/表6_9[[#This Row],[Cyc'#]]</f>
        <v>7.0250023499055625E-2</v>
      </c>
    </row>
    <row r="74" spans="1:14" x14ac:dyDescent="0.15">
      <c r="A74">
        <v>4</v>
      </c>
      <c r="B74" t="s">
        <v>32</v>
      </c>
      <c r="N74" s="16"/>
    </row>
    <row r="75" spans="1:14" x14ac:dyDescent="0.15">
      <c r="A75">
        <v>5</v>
      </c>
      <c r="B75" t="s">
        <v>32</v>
      </c>
      <c r="N75" s="16"/>
    </row>
    <row r="76" spans="1:14" x14ac:dyDescent="0.15">
      <c r="A76">
        <v>6</v>
      </c>
      <c r="B76" t="s">
        <v>32</v>
      </c>
      <c r="N76" s="16"/>
    </row>
    <row r="77" spans="1:14" x14ac:dyDescent="0.15">
      <c r="A77">
        <v>7</v>
      </c>
      <c r="B77" t="s">
        <v>32</v>
      </c>
      <c r="N77" s="16"/>
    </row>
    <row r="78" spans="1:14" x14ac:dyDescent="0.15">
      <c r="A78">
        <v>8</v>
      </c>
      <c r="B78" t="s">
        <v>32</v>
      </c>
      <c r="N78" s="16"/>
    </row>
    <row r="79" spans="1:14" x14ac:dyDescent="0.15">
      <c r="A79">
        <v>9</v>
      </c>
      <c r="B79" t="s">
        <v>32</v>
      </c>
      <c r="N79" s="16"/>
    </row>
    <row r="80" spans="1:14" x14ac:dyDescent="0.15">
      <c r="D80" s="1" t="s">
        <v>40</v>
      </c>
      <c r="E80" s="1" t="s">
        <v>44</v>
      </c>
      <c r="F80" s="1" t="s">
        <v>45</v>
      </c>
      <c r="G80" s="1" t="s">
        <v>46</v>
      </c>
      <c r="I80" s="1" t="s">
        <v>40</v>
      </c>
      <c r="J80" s="1" t="s">
        <v>44</v>
      </c>
      <c r="K80" s="1" t="s">
        <v>45</v>
      </c>
      <c r="L80" s="1" t="s">
        <v>46</v>
      </c>
    </row>
    <row r="81" spans="1:14" x14ac:dyDescent="0.15">
      <c r="A81" t="s">
        <v>39</v>
      </c>
      <c r="B81" t="s">
        <v>31</v>
      </c>
      <c r="D81" s="17">
        <f>D70*60/1000/1000</f>
        <v>356.39550000000003</v>
      </c>
      <c r="E81" s="17">
        <f>E70*60/1024/1024</f>
        <v>468.4295654296875</v>
      </c>
      <c r="F81" s="17"/>
      <c r="G81" s="17">
        <f>AVERAGE(G71:G79)*60/1024/1024</f>
        <v>200.40283203125</v>
      </c>
      <c r="I81" s="17">
        <f>I70*60/1000/1000</f>
        <v>356.346</v>
      </c>
      <c r="J81" s="17">
        <f>J70*60/1024/1024</f>
        <v>468.4295654296875</v>
      </c>
      <c r="K81" s="17"/>
      <c r="L81" s="17">
        <f>AVERAGE(L70:L79)*60/1024/1024</f>
        <v>0</v>
      </c>
      <c r="M81" s="17"/>
      <c r="N81" s="17"/>
    </row>
    <row r="82" spans="1:14" x14ac:dyDescent="0.15">
      <c r="B82" t="s">
        <v>32</v>
      </c>
      <c r="D82" s="17">
        <f>AVERAGE(D71:D79)*60/1000/1000</f>
        <v>262.17703999999998</v>
      </c>
      <c r="E82" s="17">
        <f>AVERAGE(E71:E79)*60/1024/1024</f>
        <v>856.87225341796875</v>
      </c>
      <c r="F82" s="17"/>
      <c r="G82" s="17">
        <f>AVERAGE(G71:G79)*60/1024/1024</f>
        <v>200.40283203125</v>
      </c>
      <c r="I82" s="17">
        <f>AVERAGE(I71:I79)*60/1000/1000</f>
        <v>283.45638000000002</v>
      </c>
      <c r="J82" s="17">
        <f>AVERAGE(J71:J79)*60/1024/1024</f>
        <v>856.87225341796875</v>
      </c>
      <c r="K82" s="17"/>
      <c r="L82" s="17">
        <f>AVERAGE(L70:L79)*60/1024/1024</f>
        <v>0</v>
      </c>
      <c r="M82" s="17"/>
      <c r="N82" s="17"/>
    </row>
  </sheetData>
  <phoneticPr fontId="1" type="noConversion"/>
  <hyperlinks>
    <hyperlink ref="B6" r:id="rId1"/>
  </hyperlinks>
  <pageMargins left="0.7" right="0.7" top="0.75" bottom="0.75" header="0.3" footer="0.3"/>
  <pageSetup paperSize="9" orientation="portrait" horizontalDpi="0" verticalDpi="0"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4"/>
  <sheetViews>
    <sheetView topLeftCell="A34" workbookViewId="0">
      <selection activeCell="A18" sqref="A18:A21"/>
    </sheetView>
  </sheetViews>
  <sheetFormatPr defaultRowHeight="13.5" x14ac:dyDescent="0.15"/>
  <cols>
    <col min="1" max="1" width="34.25" customWidth="1"/>
    <col min="2" max="2" width="11.625" bestFit="1" customWidth="1"/>
    <col min="3" max="3" width="21.5" bestFit="1" customWidth="1"/>
    <col min="4" max="4" width="20.25" bestFit="1" customWidth="1"/>
    <col min="5" max="5" width="56.25" bestFit="1" customWidth="1"/>
    <col min="6" max="6" width="11.625" bestFit="1" customWidth="1"/>
  </cols>
  <sheetData>
    <row r="3" spans="1:6" x14ac:dyDescent="0.15">
      <c r="A3" s="1" t="s">
        <v>104</v>
      </c>
    </row>
    <row r="4" spans="1:6" x14ac:dyDescent="0.15">
      <c r="A4" t="s">
        <v>92</v>
      </c>
    </row>
    <row r="5" spans="1:6" x14ac:dyDescent="0.15">
      <c r="A5" s="1" t="s">
        <v>78</v>
      </c>
      <c r="B5" s="1" t="s">
        <v>79</v>
      </c>
      <c r="C5" s="1" t="s">
        <v>102</v>
      </c>
      <c r="D5" s="1" t="s">
        <v>103</v>
      </c>
      <c r="E5" s="1" t="s">
        <v>94</v>
      </c>
      <c r="F5" s="1" t="s">
        <v>97</v>
      </c>
    </row>
    <row r="6" spans="1:6" x14ac:dyDescent="0.15">
      <c r="A6" t="s">
        <v>89</v>
      </c>
      <c r="B6" t="s">
        <v>100</v>
      </c>
      <c r="D6" s="17"/>
      <c r="E6" s="17"/>
    </row>
    <row r="7" spans="1:6" x14ac:dyDescent="0.15">
      <c r="B7" t="s">
        <v>101</v>
      </c>
      <c r="D7" s="17"/>
      <c r="E7" s="17"/>
    </row>
    <row r="8" spans="1:6" x14ac:dyDescent="0.15">
      <c r="B8" t="s">
        <v>118</v>
      </c>
      <c r="D8" s="17"/>
      <c r="E8" s="17"/>
    </row>
    <row r="9" spans="1:6" x14ac:dyDescent="0.15">
      <c r="B9" t="s">
        <v>119</v>
      </c>
      <c r="D9" s="17"/>
      <c r="E9" s="17"/>
    </row>
    <row r="10" spans="1:6" x14ac:dyDescent="0.15">
      <c r="B10" t="s">
        <v>118</v>
      </c>
      <c r="D10" s="17"/>
      <c r="E10" s="17"/>
    </row>
    <row r="11" spans="1:6" x14ac:dyDescent="0.15">
      <c r="D11" s="17"/>
      <c r="E11" s="17"/>
    </row>
    <row r="12" spans="1:6" x14ac:dyDescent="0.15">
      <c r="D12" s="17"/>
      <c r="E12" s="17">
        <f>150*D12/1000/1000</f>
        <v>0</v>
      </c>
    </row>
    <row r="15" spans="1:6" x14ac:dyDescent="0.15">
      <c r="A15" s="1" t="s">
        <v>106</v>
      </c>
    </row>
    <row r="16" spans="1:6" x14ac:dyDescent="0.15">
      <c r="A16" t="s">
        <v>92</v>
      </c>
    </row>
    <row r="17" spans="1:6" x14ac:dyDescent="0.15">
      <c r="A17" s="1" t="s">
        <v>78</v>
      </c>
      <c r="B17" s="1" t="s">
        <v>79</v>
      </c>
      <c r="C17" s="1" t="s">
        <v>102</v>
      </c>
      <c r="D17" s="1" t="s">
        <v>103</v>
      </c>
      <c r="E17" s="1" t="s">
        <v>105</v>
      </c>
      <c r="F17" s="1" t="s">
        <v>97</v>
      </c>
    </row>
    <row r="18" spans="1:6" x14ac:dyDescent="0.15">
      <c r="A18" t="s">
        <v>89</v>
      </c>
      <c r="B18" t="s">
        <v>100</v>
      </c>
      <c r="C18">
        <v>12386304</v>
      </c>
      <c r="D18" s="17">
        <v>12867976</v>
      </c>
      <c r="E18" s="17">
        <f>表9_15161718[[#This Row],[Core Cyc'#/Frame]]*30/1000/1000</f>
        <v>371.58911999999998</v>
      </c>
    </row>
    <row r="19" spans="1:6" x14ac:dyDescent="0.15">
      <c r="B19" t="s">
        <v>101</v>
      </c>
      <c r="C19">
        <v>12943360</v>
      </c>
      <c r="D19" s="17">
        <v>13434811</v>
      </c>
      <c r="E19" s="17">
        <f>表9_15161718[[#This Row],[Core Cyc'#/Frame]]*30/1000/1000</f>
        <v>388.30079999999998</v>
      </c>
    </row>
    <row r="20" spans="1:6" x14ac:dyDescent="0.15">
      <c r="B20" t="s">
        <v>95</v>
      </c>
      <c r="C20">
        <v>13565952</v>
      </c>
      <c r="D20" s="17">
        <v>14056583</v>
      </c>
      <c r="E20" s="17">
        <f>表9_15161718[[#This Row],[Core Cyc'#/Frame]]*30/1000/1000</f>
        <v>406.97856000000002</v>
      </c>
    </row>
    <row r="21" spans="1:6" x14ac:dyDescent="0.15">
      <c r="B21" t="s">
        <v>62</v>
      </c>
      <c r="C21">
        <v>12255232</v>
      </c>
      <c r="D21" s="17">
        <v>12757909</v>
      </c>
      <c r="E21" s="17">
        <f>表9_15161718[[#This Row],[Core Cyc'#/Frame]]*30/1000/1000</f>
        <v>367.65696000000003</v>
      </c>
    </row>
    <row r="22" spans="1:6" x14ac:dyDescent="0.15">
      <c r="B22" t="s">
        <v>95</v>
      </c>
      <c r="C22">
        <v>12386304</v>
      </c>
      <c r="D22" s="17">
        <v>12891612</v>
      </c>
      <c r="E22" s="17">
        <f>表9_15161718[[#This Row],[Core Cyc'#/Frame]]*30/1000/1000</f>
        <v>371.58911999999998</v>
      </c>
    </row>
    <row r="23" spans="1:6" x14ac:dyDescent="0.15">
      <c r="D23" s="17"/>
      <c r="E23" s="17">
        <f>表9_15161718[[#This Row],[Core Cyc'#/Frame]]*30/1000/1000</f>
        <v>0</v>
      </c>
    </row>
    <row r="26" spans="1:6" x14ac:dyDescent="0.15">
      <c r="A26" s="1" t="s">
        <v>117</v>
      </c>
    </row>
    <row r="27" spans="1:6" x14ac:dyDescent="0.15">
      <c r="A27" t="s">
        <v>92</v>
      </c>
    </row>
    <row r="28" spans="1:6" x14ac:dyDescent="0.15">
      <c r="A28" s="1" t="s">
        <v>78</v>
      </c>
      <c r="B28" s="1" t="s">
        <v>79</v>
      </c>
      <c r="C28" s="1" t="s">
        <v>102</v>
      </c>
      <c r="D28" s="1" t="s">
        <v>103</v>
      </c>
      <c r="E28" s="1" t="s">
        <v>105</v>
      </c>
      <c r="F28" s="1" t="s">
        <v>96</v>
      </c>
    </row>
    <row r="29" spans="1:6" x14ac:dyDescent="0.15">
      <c r="A29" t="s">
        <v>89</v>
      </c>
      <c r="B29" t="s">
        <v>100</v>
      </c>
      <c r="D29" s="17"/>
      <c r="E29" s="17"/>
    </row>
    <row r="30" spans="1:6" x14ac:dyDescent="0.15">
      <c r="B30" t="s">
        <v>32</v>
      </c>
      <c r="D30" s="17"/>
      <c r="E30" s="17"/>
    </row>
    <row r="31" spans="1:6" x14ac:dyDescent="0.15">
      <c r="B31" t="s">
        <v>95</v>
      </c>
      <c r="D31" s="17"/>
      <c r="E31" s="17"/>
    </row>
    <row r="32" spans="1:6" x14ac:dyDescent="0.15">
      <c r="B32" t="s">
        <v>32</v>
      </c>
      <c r="D32" s="17"/>
      <c r="E32" s="17"/>
    </row>
    <row r="33" spans="1:6" x14ac:dyDescent="0.15">
      <c r="B33" t="s">
        <v>95</v>
      </c>
      <c r="D33" s="17"/>
      <c r="E33" s="17"/>
    </row>
    <row r="34" spans="1:6" x14ac:dyDescent="0.15">
      <c r="D34" s="17"/>
      <c r="E34" s="17"/>
    </row>
    <row r="37" spans="1:6" x14ac:dyDescent="0.15">
      <c r="A37" s="1" t="s">
        <v>116</v>
      </c>
    </row>
    <row r="38" spans="1:6" x14ac:dyDescent="0.15">
      <c r="A38" t="s">
        <v>92</v>
      </c>
    </row>
    <row r="39" spans="1:6" x14ac:dyDescent="0.15">
      <c r="A39" s="1" t="s">
        <v>78</v>
      </c>
      <c r="B39" s="1" t="s">
        <v>79</v>
      </c>
      <c r="C39" s="1" t="s">
        <v>102</v>
      </c>
      <c r="D39" s="1" t="s">
        <v>103</v>
      </c>
      <c r="E39" s="1" t="s">
        <v>105</v>
      </c>
      <c r="F39" s="1" t="s">
        <v>97</v>
      </c>
    </row>
    <row r="40" spans="1:6" x14ac:dyDescent="0.15">
      <c r="A40" t="s">
        <v>89</v>
      </c>
      <c r="B40" t="s">
        <v>100</v>
      </c>
      <c r="D40" s="17"/>
      <c r="E40" s="17"/>
    </row>
    <row r="41" spans="1:6" x14ac:dyDescent="0.15">
      <c r="B41" t="s">
        <v>101</v>
      </c>
      <c r="D41" s="17"/>
      <c r="E41" s="17"/>
    </row>
    <row r="42" spans="1:6" x14ac:dyDescent="0.15">
      <c r="B42" t="s">
        <v>95</v>
      </c>
      <c r="D42" s="17"/>
      <c r="E42" s="17">
        <f>表9_151617182021[[#This Row],[Core Cyc'#/Frame]]*30/1000/1000</f>
        <v>0</v>
      </c>
    </row>
    <row r="43" spans="1:6" x14ac:dyDescent="0.15">
      <c r="B43" t="s">
        <v>62</v>
      </c>
      <c r="D43" s="17"/>
      <c r="E43" s="17">
        <f>表9_151617182021[[#This Row],[Core Cyc'#/Frame]]*30/1000/1000</f>
        <v>0</v>
      </c>
    </row>
    <row r="44" spans="1:6" x14ac:dyDescent="0.15">
      <c r="B44" t="s">
        <v>95</v>
      </c>
      <c r="D44" s="17"/>
      <c r="E44" s="17">
        <f>表9_151617182021[[#This Row],[Core Cyc'#/Frame]]*30/1000/1000</f>
        <v>0</v>
      </c>
    </row>
    <row r="45" spans="1:6" x14ac:dyDescent="0.15">
      <c r="D45" s="17"/>
      <c r="E45" s="17">
        <f>表9_151617182021[[#This Row],[Core Cyc'#/Frame]]*30/1000/1000</f>
        <v>0</v>
      </c>
    </row>
    <row r="49" spans="1:7" x14ac:dyDescent="0.15">
      <c r="A49" s="1" t="s">
        <v>107</v>
      </c>
    </row>
    <row r="50" spans="1:7" x14ac:dyDescent="0.15">
      <c r="A50" t="s">
        <v>92</v>
      </c>
    </row>
    <row r="51" spans="1:7" x14ac:dyDescent="0.15">
      <c r="A51" s="1" t="s">
        <v>78</v>
      </c>
      <c r="B51" s="1" t="s">
        <v>79</v>
      </c>
      <c r="C51" s="1" t="s">
        <v>102</v>
      </c>
      <c r="D51" s="1" t="s">
        <v>103</v>
      </c>
      <c r="E51" s="1" t="s">
        <v>105</v>
      </c>
      <c r="F51" s="1" t="s">
        <v>97</v>
      </c>
    </row>
    <row r="52" spans="1:7" x14ac:dyDescent="0.15">
      <c r="A52" t="s">
        <v>89</v>
      </c>
      <c r="B52" t="s">
        <v>100</v>
      </c>
      <c r="C52">
        <v>26411008</v>
      </c>
      <c r="D52" s="17">
        <v>26920715</v>
      </c>
      <c r="E52" s="17">
        <f>表9_1516171820[[#This Row],[Core Cyc'#/Frame]]*30/1000/1000</f>
        <v>792.33024</v>
      </c>
      <c r="F52">
        <v>19</v>
      </c>
    </row>
    <row r="53" spans="1:7" x14ac:dyDescent="0.15">
      <c r="B53" t="s">
        <v>101</v>
      </c>
      <c r="C53">
        <v>36962304</v>
      </c>
      <c r="D53" s="17">
        <v>37451065</v>
      </c>
      <c r="E53" s="17">
        <f>表9_1516171820[[#This Row],[Core Cyc'#/Frame]]*30/1000/1000</f>
        <v>1108.8691200000001</v>
      </c>
    </row>
    <row r="54" spans="1:7" x14ac:dyDescent="0.15">
      <c r="B54" t="s">
        <v>95</v>
      </c>
      <c r="D54" s="17"/>
      <c r="E54" s="17">
        <f>表9_1516171820[[#This Row],[Core Cyc'#/Frame]]*30/1000/1000</f>
        <v>0</v>
      </c>
    </row>
    <row r="55" spans="1:7" x14ac:dyDescent="0.15">
      <c r="B55" t="s">
        <v>62</v>
      </c>
      <c r="D55" s="17"/>
      <c r="E55" s="17">
        <f>表9_1516171820[[#This Row],[Core Cyc'#/Frame]]*30/1000/1000</f>
        <v>0</v>
      </c>
    </row>
    <row r="56" spans="1:7" x14ac:dyDescent="0.15">
      <c r="B56" t="s">
        <v>95</v>
      </c>
      <c r="D56" s="17"/>
      <c r="E56" s="17">
        <f>表9_1516171820[[#This Row],[Core Cyc'#/Frame]]*30/1000/1000</f>
        <v>0</v>
      </c>
    </row>
    <row r="57" spans="1:7" x14ac:dyDescent="0.15">
      <c r="D57" s="17"/>
      <c r="E57" s="17">
        <f>表9_1516171820[[#This Row],[Core Cyc'#/Frame]]*30/1000/1000</f>
        <v>0</v>
      </c>
    </row>
    <row r="61" spans="1:7" x14ac:dyDescent="0.15">
      <c r="E61" s="36" t="s">
        <v>111</v>
      </c>
      <c r="F61">
        <f>HEX2DEC(E61)</f>
        <v>2147483648</v>
      </c>
    </row>
    <row r="62" spans="1:7" x14ac:dyDescent="0.15">
      <c r="B62">
        <f xml:space="preserve"> 2*1048*1048*1024</f>
        <v>2249326592</v>
      </c>
      <c r="D62">
        <f>3840*2160</f>
        <v>8294400</v>
      </c>
      <c r="E62" s="35" t="s">
        <v>108</v>
      </c>
      <c r="F62">
        <f>HEX2DEC(E62)</f>
        <v>2246049792</v>
      </c>
      <c r="G62">
        <f>F63-F62</f>
        <v>8294400</v>
      </c>
    </row>
    <row r="63" spans="1:7" x14ac:dyDescent="0.15">
      <c r="B63">
        <f>B62/128</f>
        <v>17572864</v>
      </c>
      <c r="D63">
        <f>D62/4</f>
        <v>2073600</v>
      </c>
      <c r="E63" s="36" t="s">
        <v>109</v>
      </c>
      <c r="F63">
        <f>HEX2DEC(E63)</f>
        <v>2254344192</v>
      </c>
      <c r="G63">
        <f>F64-F63</f>
        <v>2073600</v>
      </c>
    </row>
    <row r="64" spans="1:7" x14ac:dyDescent="0.15">
      <c r="B64">
        <f>500000000/B63</f>
        <v>28.45296020045452</v>
      </c>
      <c r="E64" t="s">
        <v>110</v>
      </c>
      <c r="F64">
        <f>HEX2DEC(E64)</f>
        <v>2256417792</v>
      </c>
    </row>
    <row r="66" spans="5:6" x14ac:dyDescent="0.15">
      <c r="E66" s="36" t="s">
        <v>112</v>
      </c>
      <c r="F66">
        <f>HEX2DEC(E66)</f>
        <v>2258632704</v>
      </c>
    </row>
    <row r="67" spans="5:6" x14ac:dyDescent="0.15">
      <c r="E67" s="36" t="s">
        <v>113</v>
      </c>
      <c r="F67">
        <f t="shared" ref="F67:F68" si="0">HEX2DEC(E67)</f>
        <v>2266927104</v>
      </c>
    </row>
    <row r="68" spans="5:6" x14ac:dyDescent="0.15">
      <c r="E68" s="36" t="s">
        <v>114</v>
      </c>
      <c r="F68">
        <f t="shared" si="0"/>
        <v>2269000704</v>
      </c>
    </row>
    <row r="69" spans="5:6" x14ac:dyDescent="0.15">
      <c r="E69" t="str">
        <f>DEC2HEX(F69)</f>
        <v>87401400</v>
      </c>
      <c r="F69">
        <f>F68+E70</f>
        <v>2269123584</v>
      </c>
    </row>
    <row r="70" spans="5:6" x14ac:dyDescent="0.15">
      <c r="E70">
        <f>3840/2*64</f>
        <v>122880</v>
      </c>
    </row>
    <row r="71" spans="5:6" x14ac:dyDescent="0.15">
      <c r="E71">
        <f>7401400</f>
        <v>7401400</v>
      </c>
    </row>
    <row r="73" spans="5:6" x14ac:dyDescent="0.15">
      <c r="E73" s="36" t="s">
        <v>115</v>
      </c>
      <c r="F73">
        <f t="shared" ref="F73" si="1">HEX2DEC(E73)</f>
        <v>2281583616</v>
      </c>
    </row>
    <row r="74" spans="5:6" x14ac:dyDescent="0.15">
      <c r="E74" t="str">
        <f>DEC2HEX(F74)</f>
        <v>88001400</v>
      </c>
      <c r="F74">
        <f>F73+E70</f>
        <v>2281706496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tabSelected="1" workbookViewId="0">
      <selection activeCell="B14" sqref="B14"/>
    </sheetView>
  </sheetViews>
  <sheetFormatPr defaultRowHeight="13.5" x14ac:dyDescent="0.15"/>
  <cols>
    <col min="1" max="1" width="30.875" customWidth="1"/>
    <col min="2" max="2" width="11.625" bestFit="1" customWidth="1"/>
    <col min="3" max="3" width="21.5" bestFit="1" customWidth="1"/>
    <col min="4" max="4" width="20.25" bestFit="1" customWidth="1"/>
    <col min="5" max="5" width="56.25" bestFit="1" customWidth="1"/>
    <col min="6" max="6" width="11.625" bestFit="1" customWidth="1"/>
  </cols>
  <sheetData>
    <row r="3" spans="1:6" x14ac:dyDescent="0.15">
      <c r="A3" s="1" t="s">
        <v>104</v>
      </c>
    </row>
    <row r="4" spans="1:6" x14ac:dyDescent="0.15">
      <c r="A4" t="s">
        <v>92</v>
      </c>
    </row>
    <row r="5" spans="1:6" x14ac:dyDescent="0.15">
      <c r="A5" s="1" t="s">
        <v>78</v>
      </c>
      <c r="B5" s="1" t="s">
        <v>79</v>
      </c>
      <c r="C5" s="1" t="s">
        <v>102</v>
      </c>
      <c r="D5" s="1" t="s">
        <v>103</v>
      </c>
      <c r="E5" s="1" t="s">
        <v>94</v>
      </c>
      <c r="F5" s="1" t="s">
        <v>96</v>
      </c>
    </row>
    <row r="6" spans="1:6" x14ac:dyDescent="0.15">
      <c r="A6" t="s">
        <v>89</v>
      </c>
      <c r="B6" t="s">
        <v>31</v>
      </c>
      <c r="D6" s="17"/>
      <c r="E6" s="17"/>
    </row>
    <row r="7" spans="1:6" x14ac:dyDescent="0.15">
      <c r="B7" t="s">
        <v>32</v>
      </c>
      <c r="D7" s="17"/>
      <c r="E7" s="17"/>
    </row>
    <row r="8" spans="1:6" x14ac:dyDescent="0.15">
      <c r="D8" s="17"/>
      <c r="E8" s="17"/>
    </row>
    <row r="9" spans="1:6" x14ac:dyDescent="0.15">
      <c r="D9" s="17"/>
      <c r="E9" s="17"/>
    </row>
    <row r="10" spans="1:6" x14ac:dyDescent="0.15">
      <c r="D10" s="17"/>
      <c r="E10" s="17"/>
    </row>
    <row r="11" spans="1:6" x14ac:dyDescent="0.15">
      <c r="D11" s="17"/>
      <c r="E11" s="17"/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18" sqref="A18"/>
    </sheetView>
  </sheetViews>
  <sheetFormatPr defaultRowHeight="13.5" x14ac:dyDescent="0.15"/>
  <cols>
    <col min="1" max="1" width="36.125" bestFit="1" customWidth="1"/>
    <col min="2" max="2" width="10.625" customWidth="1"/>
    <col min="3" max="3" width="14" customWidth="1"/>
    <col min="4" max="4" width="49.75" customWidth="1"/>
    <col min="5" max="5" width="56.25" bestFit="1" customWidth="1"/>
    <col min="6" max="6" width="11.625" bestFit="1" customWidth="1"/>
  </cols>
  <sheetData>
    <row r="1" spans="1:4" x14ac:dyDescent="0.15">
      <c r="A1" s="34" t="s">
        <v>3</v>
      </c>
    </row>
    <row r="2" spans="1:4" x14ac:dyDescent="0.15">
      <c r="B2" t="s">
        <v>75</v>
      </c>
    </row>
    <row r="3" spans="1:4" x14ac:dyDescent="0.15">
      <c r="B3" t="s">
        <v>76</v>
      </c>
    </row>
    <row r="4" spans="1:4" x14ac:dyDescent="0.15">
      <c r="B4" t="s">
        <v>84</v>
      </c>
    </row>
    <row r="5" spans="1:4" x14ac:dyDescent="0.15">
      <c r="B5" t="s">
        <v>77</v>
      </c>
    </row>
    <row r="7" spans="1:4" x14ac:dyDescent="0.15">
      <c r="A7" t="s">
        <v>85</v>
      </c>
      <c r="C7" t="s">
        <v>88</v>
      </c>
    </row>
    <row r="8" spans="1:4" x14ac:dyDescent="0.15">
      <c r="A8" s="1" t="s">
        <v>78</v>
      </c>
      <c r="B8" s="1" t="s">
        <v>79</v>
      </c>
      <c r="C8" s="1" t="s">
        <v>80</v>
      </c>
      <c r="D8" s="1" t="s">
        <v>81</v>
      </c>
    </row>
    <row r="9" spans="1:4" x14ac:dyDescent="0.15">
      <c r="A9" t="s">
        <v>120</v>
      </c>
      <c r="B9" t="s">
        <v>31</v>
      </c>
      <c r="C9">
        <v>3211640</v>
      </c>
      <c r="D9" s="17">
        <f>150*C9/1000/1000</f>
        <v>481.74599999999998</v>
      </c>
    </row>
    <row r="10" spans="1:4" x14ac:dyDescent="0.15">
      <c r="B10" t="s">
        <v>32</v>
      </c>
      <c r="C10">
        <v>3375104</v>
      </c>
      <c r="D10" s="17">
        <f t="shared" ref="D10:D13" si="0">150*C10/1000/1000</f>
        <v>506.26559999999995</v>
      </c>
    </row>
    <row r="11" spans="1:4" x14ac:dyDescent="0.15">
      <c r="B11" t="s">
        <v>32</v>
      </c>
      <c r="C11">
        <v>3276800</v>
      </c>
      <c r="D11" s="17">
        <f t="shared" si="0"/>
        <v>491.52</v>
      </c>
    </row>
    <row r="12" spans="1:4" x14ac:dyDescent="0.15">
      <c r="B12" t="s">
        <v>32</v>
      </c>
      <c r="C12">
        <v>3375104</v>
      </c>
      <c r="D12" s="17">
        <f t="shared" si="0"/>
        <v>506.26559999999995</v>
      </c>
    </row>
    <row r="13" spans="1:4" x14ac:dyDescent="0.15">
      <c r="B13" t="s">
        <v>32</v>
      </c>
      <c r="C13">
        <v>3375104</v>
      </c>
      <c r="D13" s="17">
        <f t="shared" si="0"/>
        <v>506.26559999999995</v>
      </c>
    </row>
    <row r="16" spans="1:4" x14ac:dyDescent="0.15">
      <c r="A16" t="s">
        <v>87</v>
      </c>
      <c r="C16" t="s">
        <v>88</v>
      </c>
    </row>
    <row r="17" spans="1:7" x14ac:dyDescent="0.15">
      <c r="A17" s="1" t="s">
        <v>78</v>
      </c>
      <c r="B17" s="1" t="s">
        <v>79</v>
      </c>
      <c r="C17" s="1" t="s">
        <v>80</v>
      </c>
      <c r="D17" s="1" t="s">
        <v>81</v>
      </c>
    </row>
    <row r="18" spans="1:7" x14ac:dyDescent="0.15">
      <c r="A18" t="s">
        <v>83</v>
      </c>
      <c r="B18" t="s">
        <v>31</v>
      </c>
      <c r="C18">
        <v>3211264</v>
      </c>
      <c r="D18" s="17">
        <f>150*C18/1000/1000</f>
        <v>481.68959999999998</v>
      </c>
    </row>
    <row r="19" spans="1:7" x14ac:dyDescent="0.15">
      <c r="B19" t="s">
        <v>32</v>
      </c>
      <c r="C19">
        <v>3407872</v>
      </c>
      <c r="D19" s="17">
        <f t="shared" ref="D19:D22" si="1">150*C19/1000/1000</f>
        <v>511.18079999999998</v>
      </c>
    </row>
    <row r="20" spans="1:7" x14ac:dyDescent="0.15">
      <c r="B20" t="s">
        <v>32</v>
      </c>
      <c r="C20">
        <v>3309568</v>
      </c>
      <c r="D20" s="17">
        <f t="shared" si="1"/>
        <v>496.43520000000001</v>
      </c>
    </row>
    <row r="21" spans="1:7" x14ac:dyDescent="0.15">
      <c r="B21" t="s">
        <v>32</v>
      </c>
      <c r="C21">
        <v>3407872</v>
      </c>
      <c r="D21" s="17">
        <f t="shared" si="1"/>
        <v>511.18079999999998</v>
      </c>
    </row>
    <row r="22" spans="1:7" x14ac:dyDescent="0.15">
      <c r="B22" t="s">
        <v>32</v>
      </c>
      <c r="C22">
        <v>3407872</v>
      </c>
      <c r="D22" s="17">
        <f t="shared" si="1"/>
        <v>511.18079999999998</v>
      </c>
    </row>
    <row r="23" spans="1:7" x14ac:dyDescent="0.15">
      <c r="B23" t="s">
        <v>86</v>
      </c>
      <c r="C23">
        <v>3440640</v>
      </c>
      <c r="D23" s="17">
        <f>150*C23/1000/1000</f>
        <v>516.096</v>
      </c>
    </row>
    <row r="27" spans="1:7" x14ac:dyDescent="0.15">
      <c r="A27" t="s">
        <v>98</v>
      </c>
    </row>
    <row r="28" spans="1:7" x14ac:dyDescent="0.15">
      <c r="A28" t="s">
        <v>92</v>
      </c>
      <c r="C28" t="s">
        <v>93</v>
      </c>
      <c r="D28" t="s">
        <v>91</v>
      </c>
    </row>
    <row r="29" spans="1:7" x14ac:dyDescent="0.15">
      <c r="A29" s="1" t="s">
        <v>78</v>
      </c>
      <c r="B29" s="1" t="s">
        <v>79</v>
      </c>
      <c r="C29" s="1" t="s">
        <v>80</v>
      </c>
      <c r="D29" s="1" t="s">
        <v>90</v>
      </c>
      <c r="E29" s="1" t="s">
        <v>94</v>
      </c>
      <c r="F29" s="1" t="s">
        <v>96</v>
      </c>
    </row>
    <row r="30" spans="1:7" x14ac:dyDescent="0.15">
      <c r="A30" t="s">
        <v>89</v>
      </c>
      <c r="B30" t="s">
        <v>31</v>
      </c>
      <c r="C30">
        <v>12386304</v>
      </c>
      <c r="D30" s="17">
        <v>13344583</v>
      </c>
      <c r="E30" s="17">
        <f>30*C30/1000/1000 + 30*C18/1000/1000</f>
        <v>467.92703999999998</v>
      </c>
      <c r="F30">
        <v>19</v>
      </c>
      <c r="G30">
        <f>表9_1516[[#This Row],[Cyc'#/Frame2]]-表9_1516[[#This Row],[Cyc'#/Frame]]</f>
        <v>958279</v>
      </c>
    </row>
    <row r="31" spans="1:7" x14ac:dyDescent="0.15">
      <c r="B31" t="s">
        <v>32</v>
      </c>
      <c r="C31">
        <v>13205504</v>
      </c>
      <c r="D31" s="17">
        <v>14161243</v>
      </c>
      <c r="E31" s="17">
        <f t="shared" ref="E31:E33" si="2">30*C31/1000/1000 + 30*C19/1000/1000</f>
        <v>498.40127999999999</v>
      </c>
      <c r="F31">
        <v>29</v>
      </c>
      <c r="G31">
        <f>表9_1516[[#This Row],[Cyc'#/Frame2]]-表9_1516[[#This Row],[Cyc'#/Frame]]</f>
        <v>955739</v>
      </c>
    </row>
    <row r="32" spans="1:7" x14ac:dyDescent="0.15">
      <c r="B32" t="s">
        <v>32</v>
      </c>
      <c r="C32">
        <v>13172736</v>
      </c>
      <c r="D32" s="17">
        <v>14144963</v>
      </c>
      <c r="E32" s="17">
        <f t="shared" si="2"/>
        <v>494.46912000000003</v>
      </c>
      <c r="F32">
        <v>29</v>
      </c>
      <c r="G32">
        <f>表9_1516[[#This Row],[Cyc'#/Frame2]]-表9_1516[[#This Row],[Cyc'#/Frame]]</f>
        <v>972227</v>
      </c>
    </row>
    <row r="33" spans="1:7" x14ac:dyDescent="0.15">
      <c r="B33" t="s">
        <v>32</v>
      </c>
      <c r="C33">
        <v>13205504</v>
      </c>
      <c r="D33" s="17">
        <v>14160913</v>
      </c>
      <c r="E33" s="17">
        <f t="shared" si="2"/>
        <v>498.40127999999999</v>
      </c>
      <c r="F33">
        <v>29</v>
      </c>
      <c r="G33">
        <f>表9_1516[[#This Row],[Cyc'#/Frame2]]-表9_1516[[#This Row],[Cyc'#/Frame]]</f>
        <v>955409</v>
      </c>
    </row>
    <row r="34" spans="1:7" x14ac:dyDescent="0.15">
      <c r="D34" s="17"/>
      <c r="E34" s="17"/>
    </row>
    <row r="35" spans="1:7" x14ac:dyDescent="0.15">
      <c r="D35" s="17"/>
      <c r="E35" s="17"/>
    </row>
    <row r="37" spans="1:7" x14ac:dyDescent="0.15">
      <c r="A37" t="s">
        <v>99</v>
      </c>
    </row>
    <row r="38" spans="1:7" x14ac:dyDescent="0.15">
      <c r="A38" t="s">
        <v>92</v>
      </c>
      <c r="C38" t="s">
        <v>93</v>
      </c>
      <c r="D38" t="s">
        <v>91</v>
      </c>
    </row>
    <row r="39" spans="1:7" x14ac:dyDescent="0.15">
      <c r="A39" s="1" t="s">
        <v>78</v>
      </c>
      <c r="B39" s="1" t="s">
        <v>79</v>
      </c>
      <c r="C39" s="1" t="s">
        <v>80</v>
      </c>
      <c r="D39" s="1" t="s">
        <v>90</v>
      </c>
      <c r="E39" s="1" t="s">
        <v>94</v>
      </c>
      <c r="F39" s="1" t="s">
        <v>97</v>
      </c>
    </row>
    <row r="40" spans="1:7" x14ac:dyDescent="0.15">
      <c r="A40" t="s">
        <v>89</v>
      </c>
      <c r="B40" t="s">
        <v>31</v>
      </c>
      <c r="C40">
        <v>12386304</v>
      </c>
      <c r="D40" s="17">
        <v>13344648</v>
      </c>
      <c r="E40" s="17">
        <f>30*C40/1000/1000 + 30*C18/1000/1000</f>
        <v>467.92703999999998</v>
      </c>
      <c r="F40">
        <v>19</v>
      </c>
      <c r="G40">
        <f>表9_151617[[#This Row],[Cyc'#/Frame2]]-表9_151617[[#This Row],[Cyc'#/Frame]]</f>
        <v>958344</v>
      </c>
    </row>
    <row r="41" spans="1:7" x14ac:dyDescent="0.15">
      <c r="B41" t="s">
        <v>32</v>
      </c>
      <c r="C41">
        <v>13107200</v>
      </c>
      <c r="D41" s="17">
        <v>14072893</v>
      </c>
      <c r="E41" s="17">
        <f t="shared" ref="E41:E43" si="3">30*C41/1000/1000 + 30*C19/1000/1000</f>
        <v>495.45215999999999</v>
      </c>
      <c r="F41">
        <v>30</v>
      </c>
      <c r="G41">
        <f>表9_151617[[#This Row],[Cyc'#/Frame2]]-表9_151617[[#This Row],[Cyc'#/Frame]]</f>
        <v>965693</v>
      </c>
    </row>
    <row r="42" spans="1:7" x14ac:dyDescent="0.15">
      <c r="B42" t="s">
        <v>95</v>
      </c>
      <c r="C42">
        <v>13139968</v>
      </c>
      <c r="D42" s="17">
        <v>14113053</v>
      </c>
      <c r="E42" s="17">
        <f t="shared" si="3"/>
        <v>493.48607999999996</v>
      </c>
      <c r="F42">
        <v>38</v>
      </c>
      <c r="G42">
        <f>表9_151617[[#This Row],[Cyc'#/Frame2]]-表9_151617[[#This Row],[Cyc'#/Frame]]</f>
        <v>973085</v>
      </c>
    </row>
    <row r="43" spans="1:7" x14ac:dyDescent="0.15">
      <c r="B43" t="s">
        <v>32</v>
      </c>
      <c r="C43">
        <v>13205504</v>
      </c>
      <c r="D43" s="17">
        <v>14160913</v>
      </c>
      <c r="E43" s="17">
        <f t="shared" si="3"/>
        <v>498.40127999999999</v>
      </c>
      <c r="F43">
        <v>30</v>
      </c>
      <c r="G43">
        <f>表9_151617[[#This Row],[Cyc'#/Frame2]]-表9_151617[[#This Row],[Cyc'#/Frame]]</f>
        <v>955409</v>
      </c>
    </row>
    <row r="44" spans="1:7" x14ac:dyDescent="0.15">
      <c r="D44" s="17"/>
      <c r="E44" s="17"/>
    </row>
    <row r="45" spans="1:7" x14ac:dyDescent="0.15">
      <c r="D45" s="17"/>
      <c r="E45" s="17"/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H264 Enc</vt:lpstr>
      <vt:lpstr>SecAxi On Vs Off</vt:lpstr>
      <vt:lpstr>HEVC ENC(13900)</vt:lpstr>
      <vt:lpstr>HEVC ENC()</vt:lpstr>
      <vt:lpstr>HEVC ENC(11549)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2017-04-21T02:53:26Z</dcterms:modified>
</cp:coreProperties>
</file>