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dirilenler\"/>
    </mc:Choice>
  </mc:AlternateContent>
  <xr:revisionPtr revIDLastSave="0" documentId="13_ncr:1_{053A679B-8AC5-47C1-B43F-8A6F5D4CE7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_PalUtilTempWorksheet" sheetId="2" state="hidden" r:id="rId2"/>
    <sheet name="_STDS_DG1BB9C965" sheetId="3" state="hidden" r:id="rId3"/>
  </sheets>
  <definedNames>
    <definedName name="ST_10verticeRuntimes">Sheet1!$G$2:$G$201</definedName>
    <definedName name="ST_15verticeRuntimes">Sheet1!$H$2:$H$201</definedName>
    <definedName name="ST_20verticeRuntimes">Sheet1!$I$2:$I$201</definedName>
    <definedName name="ST_5verticeRuntimes">Sheet1!$B$2:$B$201</definedName>
    <definedName name="ST_6verticeRuntimes">Sheet1!$C$2:$C$201</definedName>
    <definedName name="ST_7verticeRuntimes">Sheet1!$D$2:$D$201</definedName>
    <definedName name="ST_8verticeRuntimes">Sheet1!$E$2:$E$201</definedName>
    <definedName name="ST_9verticeRuntimes">Sheet1!$F$2:$F$201</definedName>
    <definedName name="ST_DataSet1">Sheet1!$A$2:$A$201</definedName>
    <definedName name="STWBD_StatToolsOneVarSummary_Count" hidden="1">"TRUE"</definedName>
    <definedName name="STWBD_StatToolsOneVarSummary_DefaultDataFormat" hidden="1">" 0"</definedName>
    <definedName name="STWBD_StatToolsOneVarSummary_FirstQuartile" hidden="1">"TRUE"</definedName>
    <definedName name="STWBD_StatToolsOneVarSummary_HasDefaultInfo" hidden="1">"TRUE"</definedName>
    <definedName name="STWBD_StatToolsOneVarSummary_InterQuartileRange" hidden="1">"TRUE"</definedName>
    <definedName name="STWBD_StatToolsOneVarSummary_Kurtosis" hidden="1">"TRUE"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"TRUE"</definedName>
    <definedName name="STWBD_StatToolsOneVarSummary_Median" hidden="1">"TRUE"</definedName>
    <definedName name="STWBD_StatToolsOneVarSummary_Minimum" hidden="1">"TRUE"</definedName>
    <definedName name="STWBD_StatToolsOneVarSummary_Mode" hidden="1">"TRUE"</definedName>
    <definedName name="STWBD_StatToolsOneVarSummary_OtherPercentiles" hidden="1">"TRUE"</definedName>
    <definedName name="STWBD_StatToolsOneVarSummary_PercentileList" hidden="1">" .01, .025, .05, .1, .2, .8, .9, .95, .975, .99"</definedName>
    <definedName name="STWBD_StatToolsOneVarSummary_Range" hidden="1">"TRUE"</definedName>
    <definedName name="STWBD_StatToolsOneVarSummary_Skewness" hidden="1">"TRUE"</definedName>
    <definedName name="STWBD_StatToolsOneVarSummary_StandardDeviation" hidden="1">"TRUE"</definedName>
    <definedName name="STWBD_StatToolsOneVarSummary_Sum" hidden="1">"TRUE"</definedName>
    <definedName name="STWBD_StatToolsOneVarSummary_ThirdQuartile" hidden="1">"TRUE"</definedName>
    <definedName name="STWBD_StatToolsOneVarSummary_VariableList" hidden="1">8</definedName>
    <definedName name="STWBD_StatToolsOneVarSummary_VariableList_1" hidden="1">"U_x0001_VG2A0EA9B1184A4B22_x0001_"</definedName>
    <definedName name="STWBD_StatToolsOneVarSummary_VariableList_2" hidden="1">"U_x0001_VG265763F916FC317F_x0001_"</definedName>
    <definedName name="STWBD_StatToolsOneVarSummary_VariableList_3" hidden="1">"U_x0001_VG7561144105E07FB_x0001_"</definedName>
    <definedName name="STWBD_StatToolsOneVarSummary_VariableList_4" hidden="1">"U_x0001_VGD4BBA402074CF50_x0001_"</definedName>
    <definedName name="STWBD_StatToolsOneVarSummary_VariableList_5" hidden="1">"U_x0001_VG328940831C0F2F07_x0001_"</definedName>
    <definedName name="STWBD_StatToolsOneVarSummary_VariableList_6" hidden="1">"U_x0001_VG10D20BDC1D26A2CE_x0001_"</definedName>
    <definedName name="STWBD_StatToolsOneVarSummary_VariableList_7" hidden="1">"U_x0001_VG27DD8AF614478141_x0001_"</definedName>
    <definedName name="STWBD_StatToolsOneVarSummary_VariableList_8" hidden="1">"U_x0001_VG2AA76CA01436350C_x0001_"</definedName>
    <definedName name="STWBD_StatToolsOneVarSummary_Variance" hidden="1">"TRUE"</definedName>
    <definedName name="STWBD_StatToolsOneVarSummary_VarSelectorDefaultDataSet" hidden="1">"DG1BB9C965"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37" i="3"/>
  <c r="B34" i="3"/>
  <c r="B31" i="3"/>
  <c r="B28" i="3"/>
  <c r="B25" i="3"/>
  <c r="B22" i="3"/>
  <c r="B19" i="3"/>
  <c r="B16" i="3"/>
  <c r="B13" i="3"/>
  <c r="B7" i="3"/>
  <c r="B3" i="3"/>
  <c r="B9" i="2"/>
  <c r="Y3" i="1"/>
  <c r="AB3" i="1"/>
  <c r="X3" i="1"/>
  <c r="W3" i="1"/>
  <c r="AA3" i="1"/>
  <c r="V3" i="1"/>
  <c r="U3" i="1"/>
  <c r="Z3" i="1"/>
  <c r="S28" i="1"/>
  <c r="S20" i="1"/>
  <c r="S12" i="1"/>
  <c r="S4" i="1"/>
  <c r="R22" i="1"/>
  <c r="R14" i="1"/>
  <c r="R6" i="1"/>
  <c r="Q24" i="1"/>
  <c r="Q16" i="1"/>
  <c r="Q8" i="1"/>
  <c r="P26" i="1"/>
  <c r="P18" i="1"/>
  <c r="P10" i="1"/>
  <c r="O28" i="1"/>
  <c r="O20" i="1"/>
  <c r="O12" i="1"/>
  <c r="O4" i="1"/>
  <c r="N22" i="1"/>
  <c r="N14" i="1"/>
  <c r="N6" i="1"/>
  <c r="M24" i="1"/>
  <c r="M16" i="1"/>
  <c r="M8" i="1"/>
  <c r="L26" i="1"/>
  <c r="L18" i="1"/>
  <c r="L10" i="1"/>
  <c r="N5" i="1"/>
  <c r="M7" i="1"/>
  <c r="L17" i="1"/>
  <c r="L16" i="1"/>
  <c r="L15" i="1"/>
  <c r="L5" i="1"/>
  <c r="R7" i="1"/>
  <c r="P19" i="1"/>
  <c r="N23" i="1"/>
  <c r="L19" i="1"/>
  <c r="S27" i="1"/>
  <c r="S19" i="1"/>
  <c r="S11" i="1"/>
  <c r="S3" i="1"/>
  <c r="R21" i="1"/>
  <c r="R13" i="1"/>
  <c r="R5" i="1"/>
  <c r="Q23" i="1"/>
  <c r="Q15" i="1"/>
  <c r="Q7" i="1"/>
  <c r="P25" i="1"/>
  <c r="P17" i="1"/>
  <c r="P9" i="1"/>
  <c r="O27" i="1"/>
  <c r="O19" i="1"/>
  <c r="O11" i="1"/>
  <c r="O3" i="1"/>
  <c r="N21" i="1"/>
  <c r="N13" i="1"/>
  <c r="M23" i="1"/>
  <c r="M15" i="1"/>
  <c r="L25" i="1"/>
  <c r="L9" i="1"/>
  <c r="L23" i="1"/>
  <c r="S21" i="1"/>
  <c r="Q9" i="1"/>
  <c r="O5" i="1"/>
  <c r="L27" i="1"/>
  <c r="S26" i="1"/>
  <c r="S18" i="1"/>
  <c r="S10" i="1"/>
  <c r="R28" i="1"/>
  <c r="R20" i="1"/>
  <c r="R12" i="1"/>
  <c r="R4" i="1"/>
  <c r="Q22" i="1"/>
  <c r="Q14" i="1"/>
  <c r="Q6" i="1"/>
  <c r="P24" i="1"/>
  <c r="P16" i="1"/>
  <c r="P8" i="1"/>
  <c r="O26" i="1"/>
  <c r="O18" i="1"/>
  <c r="O10" i="1"/>
  <c r="N28" i="1"/>
  <c r="N20" i="1"/>
  <c r="N12" i="1"/>
  <c r="N4" i="1"/>
  <c r="M22" i="1"/>
  <c r="M14" i="1"/>
  <c r="M6" i="1"/>
  <c r="L24" i="1"/>
  <c r="L8" i="1"/>
  <c r="L21" i="1"/>
  <c r="R15" i="1"/>
  <c r="O21" i="1"/>
  <c r="M9" i="1"/>
  <c r="S25" i="1"/>
  <c r="S17" i="1"/>
  <c r="S9" i="1"/>
  <c r="R27" i="1"/>
  <c r="R19" i="1"/>
  <c r="R11" i="1"/>
  <c r="R3" i="1"/>
  <c r="Q21" i="1"/>
  <c r="Q13" i="1"/>
  <c r="Q5" i="1"/>
  <c r="P23" i="1"/>
  <c r="P15" i="1"/>
  <c r="P7" i="1"/>
  <c r="O25" i="1"/>
  <c r="O17" i="1"/>
  <c r="O9" i="1"/>
  <c r="N27" i="1"/>
  <c r="N19" i="1"/>
  <c r="N11" i="1"/>
  <c r="N3" i="1"/>
  <c r="M21" i="1"/>
  <c r="M13" i="1"/>
  <c r="M5" i="1"/>
  <c r="L7" i="1"/>
  <c r="S13" i="1"/>
  <c r="P27" i="1"/>
  <c r="N7" i="1"/>
  <c r="S24" i="1"/>
  <c r="S16" i="1"/>
  <c r="S8" i="1"/>
  <c r="R26" i="1"/>
  <c r="R18" i="1"/>
  <c r="R10" i="1"/>
  <c r="Q28" i="1"/>
  <c r="Q20" i="1"/>
  <c r="Q12" i="1"/>
  <c r="Q4" i="1"/>
  <c r="P22" i="1"/>
  <c r="P14" i="1"/>
  <c r="P6" i="1"/>
  <c r="O24" i="1"/>
  <c r="O16" i="1"/>
  <c r="O8" i="1"/>
  <c r="N26" i="1"/>
  <c r="N18" i="1"/>
  <c r="N10" i="1"/>
  <c r="M28" i="1"/>
  <c r="M20" i="1"/>
  <c r="M12" i="1"/>
  <c r="M4" i="1"/>
  <c r="L22" i="1"/>
  <c r="L14" i="1"/>
  <c r="L6" i="1"/>
  <c r="N9" i="1"/>
  <c r="M11" i="1"/>
  <c r="L13" i="1"/>
  <c r="Q25" i="1"/>
  <c r="P11" i="1"/>
  <c r="N15" i="1"/>
  <c r="L11" i="1"/>
  <c r="S23" i="1"/>
  <c r="S15" i="1"/>
  <c r="S7" i="1"/>
  <c r="R25" i="1"/>
  <c r="R17" i="1"/>
  <c r="R9" i="1"/>
  <c r="Q27" i="1"/>
  <c r="Q19" i="1"/>
  <c r="Q11" i="1"/>
  <c r="Q3" i="1"/>
  <c r="P21" i="1"/>
  <c r="P13" i="1"/>
  <c r="P5" i="1"/>
  <c r="O23" i="1"/>
  <c r="O15" i="1"/>
  <c r="O7" i="1"/>
  <c r="N25" i="1"/>
  <c r="N17" i="1"/>
  <c r="M27" i="1"/>
  <c r="M19" i="1"/>
  <c r="M3" i="1"/>
  <c r="S5" i="1"/>
  <c r="Q17" i="1"/>
  <c r="O13" i="1"/>
  <c r="M17" i="1"/>
  <c r="L3" i="1"/>
  <c r="S22" i="1"/>
  <c r="S14" i="1"/>
  <c r="S6" i="1"/>
  <c r="R24" i="1"/>
  <c r="R16" i="1"/>
  <c r="R8" i="1"/>
  <c r="Q26" i="1"/>
  <c r="Q18" i="1"/>
  <c r="Q10" i="1"/>
  <c r="P28" i="1"/>
  <c r="P20" i="1"/>
  <c r="P12" i="1"/>
  <c r="P4" i="1"/>
  <c r="O22" i="1"/>
  <c r="O14" i="1"/>
  <c r="O6" i="1"/>
  <c r="N24" i="1"/>
  <c r="N16" i="1"/>
  <c r="N8" i="1"/>
  <c r="M26" i="1"/>
  <c r="M18" i="1"/>
  <c r="M10" i="1"/>
  <c r="L28" i="1"/>
  <c r="L20" i="1"/>
  <c r="L12" i="1"/>
  <c r="L4" i="1"/>
  <c r="R23" i="1"/>
  <c r="P3" i="1"/>
  <c r="M25" i="1"/>
</calcChain>
</file>

<file path=xl/sharedStrings.xml><?xml version="1.0" encoding="utf-8"?>
<sst xmlns="http://schemas.openxmlformats.org/spreadsheetml/2006/main" count="117" uniqueCount="101">
  <si>
    <t>5 vertice Runtimes</t>
  </si>
  <si>
    <t>6 vertice Runtimes</t>
  </si>
  <si>
    <t>7 vertice Runtimes</t>
  </si>
  <si>
    <t>8 vertice Runtimes</t>
  </si>
  <si>
    <t>9 vertice Runtimes</t>
  </si>
  <si>
    <t>10 vertice Runtimes</t>
  </si>
  <si>
    <t>15 vertice Runtimes</t>
  </si>
  <si>
    <t>20 vertice Runtimes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</si>
  <si>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</si>
  <si>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</si>
  <si>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</si>
  <si>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</si>
  <si>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</si>
  <si>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</si>
  <si>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</si>
  <si>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</si>
  <si>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</si>
  <si>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</si>
  <si>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</si>
  <si>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</si>
  <si>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DG1BB9C965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</si>
  <si>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</si>
  <si>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</si>
  <si>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</si>
  <si>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</si>
  <si>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</si>
  <si>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</si>
  <si>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</si>
  <si>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</si>
  <si>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</si>
  <si>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</si>
  <si>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VG23A9DDBC151287CE</t>
  </si>
  <si>
    <t>var1</t>
  </si>
  <si>
    <t>ST_DataSet1</t>
  </si>
  <si>
    <t>1 : Ranges</t>
  </si>
  <si>
    <t>1 : MultiRefs</t>
  </si>
  <si>
    <t>2 : Info</t>
  </si>
  <si>
    <t>VG2A0EA9B1184A4B22</t>
  </si>
  <si>
    <t>var2</t>
  </si>
  <si>
    <t>ST_5verticeRuntimes</t>
  </si>
  <si>
    <t>2 : Ranges</t>
  </si>
  <si>
    <t>2 : MultiRefs</t>
  </si>
  <si>
    <t>3 : Info</t>
  </si>
  <si>
    <t>VG265763F916FC317F</t>
  </si>
  <si>
    <t>var3</t>
  </si>
  <si>
    <t>ST_6verticeRuntimes</t>
  </si>
  <si>
    <t>3 : Ranges</t>
  </si>
  <si>
    <t>3 : MultiRefs</t>
  </si>
  <si>
    <t>4 : Info</t>
  </si>
  <si>
    <t>VG7561144105E07FB</t>
  </si>
  <si>
    <t>var4</t>
  </si>
  <si>
    <t>ST_7verticeRuntimes</t>
  </si>
  <si>
    <t>4 : Ranges</t>
  </si>
  <si>
    <t>4 : MultiRefs</t>
  </si>
  <si>
    <t>5 : Info</t>
  </si>
  <si>
    <t>VGD4BBA402074CF50</t>
  </si>
  <si>
    <t>var5</t>
  </si>
  <si>
    <t>ST_8verticeRuntimes</t>
  </si>
  <si>
    <t>5 : Ranges</t>
  </si>
  <si>
    <t>5 : MultiRefs</t>
  </si>
  <si>
    <t>6 : Info</t>
  </si>
  <si>
    <t>VG328940831C0F2F07</t>
  </si>
  <si>
    <t>var6</t>
  </si>
  <si>
    <t>ST_9verticeRuntimes</t>
  </si>
  <si>
    <t>6 : Ranges</t>
  </si>
  <si>
    <t>6 : MultiRefs</t>
  </si>
  <si>
    <t>7 : Info</t>
  </si>
  <si>
    <t>VG10D20BDC1D26A2CE</t>
  </si>
  <si>
    <t>var7</t>
  </si>
  <si>
    <t>ST_10verticeRuntimes</t>
  </si>
  <si>
    <t>7 : Ranges</t>
  </si>
  <si>
    <t>7 : MultiRefs</t>
  </si>
  <si>
    <t>8 : Info</t>
  </si>
  <si>
    <t>VG27DD8AF614478141</t>
  </si>
  <si>
    <t>var8</t>
  </si>
  <si>
    <t>ST_15verticeRuntimes</t>
  </si>
  <si>
    <t>8 : Ranges</t>
  </si>
  <si>
    <t>8 : MultiRefs</t>
  </si>
  <si>
    <t>9 : Info</t>
  </si>
  <si>
    <t>VG2AA76CA01436350C</t>
  </si>
  <si>
    <t>var9</t>
  </si>
  <si>
    <t>ST_20verticeRuntimes</t>
  </si>
  <si>
    <t>9 : Ranges</t>
  </si>
  <si>
    <t>9 : MultiRefs</t>
  </si>
  <si>
    <t>One Variable Summary</t>
  </si>
  <si>
    <t>Mean</t>
  </si>
  <si>
    <t>Variance</t>
  </si>
  <si>
    <t>Std. Dev.</t>
  </si>
  <si>
    <t>Skewness</t>
  </si>
  <si>
    <t>Kurtosis</t>
  </si>
  <si>
    <t>Median</t>
  </si>
  <si>
    <t>Mean Abs. Dev.</t>
  </si>
  <si>
    <t>Mode</t>
  </si>
  <si>
    <t>Minimum</t>
  </si>
  <si>
    <t>Maximum</t>
  </si>
  <si>
    <t>Range</t>
  </si>
  <si>
    <t>Count</t>
  </si>
  <si>
    <t>Sum</t>
  </si>
  <si>
    <t>1st Quartile</t>
  </si>
  <si>
    <t>3rd Quartile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</si>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</sst>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i/>
      <sz val="8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ashed">
        <color rgb="FF000000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ashed">
        <color rgb="FF000000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dashed">
        <color rgb="FF000000"/>
      </bottom>
      <diagonal/>
    </border>
    <border>
      <left style="double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 style="thin">
        <color auto="1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ill="1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center" vertical="top"/>
    </xf>
    <xf numFmtId="0" fontId="0" fillId="2" borderId="8" xfId="0" applyFill="1" applyBorder="1"/>
    <xf numFmtId="0" fontId="0" fillId="2" borderId="9" xfId="0" applyFill="1" applyBorder="1"/>
    <xf numFmtId="0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10" xfId="0" applyNumberFormat="1" applyFont="1" applyFill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3" fillId="0" borderId="11" xfId="0" applyNumberFormat="1" applyFont="1" applyFill="1" applyBorder="1" applyAlignment="1">
      <alignment horizontal="left"/>
    </xf>
    <xf numFmtId="10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Sheet1!$U$2:$AB$2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Sheet1!$U$3:$AB$3</c:f>
              <c:numCache>
                <c:formatCode>0.0000</c:formatCode>
                <c:ptCount val="8"/>
                <c:pt idx="0">
                  <c:v>9.2271930039999783E-2</c:v>
                </c:pt>
                <c:pt idx="1">
                  <c:v>0.11856408324500009</c:v>
                </c:pt>
                <c:pt idx="2">
                  <c:v>0.16053140857499862</c:v>
                </c:pt>
                <c:pt idx="3">
                  <c:v>0.2147143080649998</c:v>
                </c:pt>
                <c:pt idx="4">
                  <c:v>0.23943024695000134</c:v>
                </c:pt>
                <c:pt idx="5">
                  <c:v>0.28088752828999985</c:v>
                </c:pt>
                <c:pt idx="6">
                  <c:v>0.47635413186500242</c:v>
                </c:pt>
                <c:pt idx="7">
                  <c:v>0.98868836381000502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7-4503-826C-7CFD3C17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40352"/>
        <c:axId val="963740680"/>
      </c:scatterChart>
      <c:valAx>
        <c:axId val="9637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Vertices</a:t>
                </a:r>
              </a:p>
            </c:rich>
          </c:tx>
          <c:layout>
            <c:manualLayout>
              <c:xMode val="edge"/>
              <c:yMode val="edge"/>
              <c:x val="0.4960682414698162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40680"/>
        <c:crosses val="autoZero"/>
        <c:crossBetween val="midCat"/>
      </c:valAx>
      <c:valAx>
        <c:axId val="9637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Mean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853440</xdr:colOff>
      <xdr:row>6</xdr:row>
      <xdr:rowOff>87630</xdr:rowOff>
    </xdr:from>
    <xdr:to>
      <xdr:col>26</xdr:col>
      <xdr:colOff>259080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07EE8-33F0-4263-8924-6D4D22C3D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2"/>
  <sheetViews>
    <sheetView tabSelected="1" topLeftCell="L1" workbookViewId="0">
      <selection activeCell="Z13" sqref="Z13"/>
    </sheetView>
  </sheetViews>
  <sheetFormatPr defaultRowHeight="14.4" x14ac:dyDescent="0.3"/>
  <cols>
    <col min="11" max="11" width="15.21875" bestFit="1" customWidth="1"/>
    <col min="12" max="16" width="12.77734375" customWidth="1"/>
    <col min="17" max="19" width="13.109375" bestFit="1" customWidth="1"/>
  </cols>
  <sheetData>
    <row r="1" spans="1:28" ht="15" customHeight="1" thickTop="1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  <c r="K1" s="16"/>
      <c r="L1" s="14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4" t="s">
        <v>5</v>
      </c>
      <c r="R1" s="14" t="s">
        <v>6</v>
      </c>
      <c r="S1" s="14" t="s">
        <v>7</v>
      </c>
    </row>
    <row r="2" spans="1:28" ht="15" customHeight="1" thickBot="1" x14ac:dyDescent="0.35">
      <c r="A2" s="7">
        <v>0</v>
      </c>
      <c r="B2" s="8">
        <v>4.8494059999981687E-3</v>
      </c>
      <c r="C2" s="8">
        <v>0.50759727399999122</v>
      </c>
      <c r="D2" s="8">
        <v>3.5414700000018229E-3</v>
      </c>
      <c r="E2" s="8">
        <v>0.41703162600001059</v>
      </c>
      <c r="F2" s="8">
        <v>0.48648157000002362</v>
      </c>
      <c r="G2" s="8">
        <v>0.47157143800001222</v>
      </c>
      <c r="H2" s="8">
        <v>0.63090407999999343</v>
      </c>
      <c r="I2" s="9">
        <v>0.81695418399999653</v>
      </c>
      <c r="K2" s="17" t="s">
        <v>84</v>
      </c>
      <c r="L2" s="15" t="s">
        <v>18</v>
      </c>
      <c r="M2" s="15" t="s">
        <v>18</v>
      </c>
      <c r="N2" s="15" t="s">
        <v>18</v>
      </c>
      <c r="O2" s="15" t="s">
        <v>18</v>
      </c>
      <c r="P2" s="15" t="s">
        <v>18</v>
      </c>
      <c r="Q2" s="15" t="s">
        <v>18</v>
      </c>
      <c r="R2" s="15" t="s">
        <v>18</v>
      </c>
      <c r="S2" s="15" t="s">
        <v>18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>
        <v>15</v>
      </c>
      <c r="AB2">
        <v>20</v>
      </c>
    </row>
    <row r="3" spans="1:28" ht="15" customHeight="1" thickTop="1" x14ac:dyDescent="0.3">
      <c r="A3" s="7">
        <v>1</v>
      </c>
      <c r="B3" s="8">
        <v>4.2711039999971936E-3</v>
      </c>
      <c r="C3" s="8">
        <v>0.3902191479999999</v>
      </c>
      <c r="D3" s="8">
        <v>0.43015518800000052</v>
      </c>
      <c r="E3" s="8">
        <v>3.677943000013784E-3</v>
      </c>
      <c r="F3" s="8">
        <v>0.43769872100000379</v>
      </c>
      <c r="G3" s="8">
        <v>3.2539720000386301E-3</v>
      </c>
      <c r="H3" s="8">
        <v>3.533032999996522E-3</v>
      </c>
      <c r="I3" s="9">
        <v>5.2505688999985978E-2</v>
      </c>
      <c r="K3" s="14" t="s">
        <v>85</v>
      </c>
      <c r="L3" s="20">
        <f>_xll.StatMean(ST_5verticeRuntimes)</f>
        <v>9.2271930039999783E-2</v>
      </c>
      <c r="M3" s="20">
        <f>_xll.StatMean(ST_6verticeRuntimes)</f>
        <v>0.11856408324500009</v>
      </c>
      <c r="N3" s="20">
        <f>_xll.StatMean(ST_7verticeRuntimes)</f>
        <v>0.16053140857499862</v>
      </c>
      <c r="O3" s="20">
        <f>_xll.StatMean(ST_8verticeRuntimes)</f>
        <v>0.2147143080649998</v>
      </c>
      <c r="P3" s="20">
        <f>_xll.StatMean(ST_9verticeRuntimes)</f>
        <v>0.23943024695000134</v>
      </c>
      <c r="Q3" s="20">
        <f>_xll.StatMean(ST_10verticeRuntimes)</f>
        <v>0.28088752828999985</v>
      </c>
      <c r="R3" s="20">
        <f>_xll.StatMean(ST_15verticeRuntimes)</f>
        <v>0.47635413186500242</v>
      </c>
      <c r="S3" s="20">
        <f>_xll.StatMean(ST_20verticeRuntimes)</f>
        <v>0.98868836381000502</v>
      </c>
      <c r="U3" s="20">
        <f>_xll.StatMean(ST_5verticeRuntimes)</f>
        <v>9.2271930039999783E-2</v>
      </c>
      <c r="V3" s="20">
        <f>_xll.StatMean(ST_6verticeRuntimes)</f>
        <v>0.11856408324500009</v>
      </c>
      <c r="W3" s="20">
        <f>_xll.StatMean(ST_7verticeRuntimes)</f>
        <v>0.16053140857499862</v>
      </c>
      <c r="X3" s="20">
        <f>_xll.StatMean(ST_8verticeRuntimes)</f>
        <v>0.2147143080649998</v>
      </c>
      <c r="Y3" s="20">
        <f>_xll.StatMean(ST_9verticeRuntimes)</f>
        <v>0.23943024695000134</v>
      </c>
      <c r="Z3" s="20">
        <f>_xll.StatMean(ST_10verticeRuntimes)</f>
        <v>0.28088752828999985</v>
      </c>
      <c r="AA3" s="20">
        <f>_xll.StatMean(ST_15verticeRuntimes)</f>
        <v>0.47635413186500242</v>
      </c>
      <c r="AB3" s="20">
        <f>_xll.StatMean(ST_20verticeRuntimes)</f>
        <v>0.98868836381000502</v>
      </c>
    </row>
    <row r="4" spans="1:28" ht="15" customHeight="1" x14ac:dyDescent="0.3">
      <c r="A4" s="7">
        <v>2</v>
      </c>
      <c r="B4" s="8">
        <v>0.40515232100000281</v>
      </c>
      <c r="C4" s="8">
        <v>3.102709000003756E-3</v>
      </c>
      <c r="D4" s="8">
        <v>0.54763934300000017</v>
      </c>
      <c r="E4" s="8">
        <v>0.40725613199998628</v>
      </c>
      <c r="F4" s="8">
        <v>0.48686936500001821</v>
      </c>
      <c r="G4" s="8">
        <v>4.416891999994732E-3</v>
      </c>
      <c r="H4" s="8">
        <v>0.6738337099999967</v>
      </c>
      <c r="I4" s="9">
        <v>1.100460497999961</v>
      </c>
      <c r="K4" s="14" t="s">
        <v>86</v>
      </c>
      <c r="L4" s="20">
        <f>_xll.StatVariance(ST_5verticeRuntimes)</f>
        <v>2.3406022939857243E-2</v>
      </c>
      <c r="M4" s="20">
        <f>_xll.StatVariance(ST_6verticeRuntimes)</f>
        <v>2.7365037779599085E-2</v>
      </c>
      <c r="N4" s="20">
        <f>_xll.StatVariance(ST_7verticeRuntimes)</f>
        <v>4.0687611484453885E-2</v>
      </c>
      <c r="O4" s="20">
        <f>_xll.StatVariance(ST_8verticeRuntimes)</f>
        <v>6.199102883222761E-2</v>
      </c>
      <c r="P4" s="20">
        <f>_xll.StatVariance(ST_9verticeRuntimes)</f>
        <v>5.9348546829926858E-2</v>
      </c>
      <c r="Q4" s="20">
        <f>_xll.StatVariance(ST_10verticeRuntimes)</f>
        <v>5.639862084608379E-2</v>
      </c>
      <c r="R4" s="20">
        <f>_xll.StatVariance(ST_15verticeRuntimes)</f>
        <v>6.8585893618588772E-2</v>
      </c>
      <c r="S4" s="20">
        <f>_xll.StatVariance(ST_20verticeRuntimes)</f>
        <v>0.60506472792904276</v>
      </c>
    </row>
    <row r="5" spans="1:28" ht="15" customHeight="1" x14ac:dyDescent="0.3">
      <c r="A5" s="7">
        <v>3</v>
      </c>
      <c r="B5" s="8">
        <v>3.232332999999699E-3</v>
      </c>
      <c r="C5" s="8">
        <v>0.40801294799999249</v>
      </c>
      <c r="D5" s="8">
        <v>2.9944759999978028E-3</v>
      </c>
      <c r="E5" s="8">
        <v>3.229551999993419E-3</v>
      </c>
      <c r="F5" s="8">
        <v>0.52943581900001391</v>
      </c>
      <c r="G5" s="8">
        <v>0.47613898899999191</v>
      </c>
      <c r="H5" s="8">
        <v>0.64216978999996854</v>
      </c>
      <c r="I5" s="9">
        <v>0.97350405800000317</v>
      </c>
      <c r="K5" s="14" t="s">
        <v>87</v>
      </c>
      <c r="L5" s="20">
        <f>_xll.StatStdDev(ST_5verticeRuntimes)</f>
        <v>0.15299027073594335</v>
      </c>
      <c r="M5" s="20">
        <f>_xll.StatStdDev(ST_6verticeRuntimes)</f>
        <v>0.16542381261353845</v>
      </c>
      <c r="N5" s="20">
        <f>_xll.StatStdDev(ST_7verticeRuntimes)</f>
        <v>0.20171170388565429</v>
      </c>
      <c r="O5" s="20">
        <f>_xll.StatStdDev(ST_8verticeRuntimes)</f>
        <v>0.2489799767696744</v>
      </c>
      <c r="P5" s="20">
        <f>_xll.StatStdDev(ST_9verticeRuntimes)</f>
        <v>0.24361557181331175</v>
      </c>
      <c r="Q5" s="20">
        <f>_xll.StatStdDev(ST_10verticeRuntimes)</f>
        <v>0.2374839380802074</v>
      </c>
      <c r="R5" s="20">
        <f>_xll.StatStdDev(ST_15verticeRuntimes)</f>
        <v>0.26188908648240533</v>
      </c>
      <c r="S5" s="20">
        <f>_xll.StatStdDev(ST_20verticeRuntimes)</f>
        <v>0.77785906688104034</v>
      </c>
    </row>
    <row r="6" spans="1:28" ht="15" customHeight="1" x14ac:dyDescent="0.3">
      <c r="A6" s="7">
        <v>4</v>
      </c>
      <c r="B6" s="8">
        <v>3.8695530000012468E-3</v>
      </c>
      <c r="C6" s="8">
        <v>0.41534632500000163</v>
      </c>
      <c r="D6" s="8">
        <v>0.43548328999999342</v>
      </c>
      <c r="E6" s="8">
        <v>3.3757209999976112E-3</v>
      </c>
      <c r="F6" s="8">
        <v>3.3809690000339292E-3</v>
      </c>
      <c r="G6" s="8">
        <v>3.2179019999603038E-3</v>
      </c>
      <c r="H6" s="8">
        <v>3.50112899997157E-3</v>
      </c>
      <c r="I6" s="9">
        <v>0.77591429100004916</v>
      </c>
      <c r="K6" s="14" t="s">
        <v>88</v>
      </c>
      <c r="L6" s="20">
        <f>_xll.StatSkewness(ST_5verticeRuntimes)</f>
        <v>1.2719286406485493</v>
      </c>
      <c r="M6" s="20">
        <f>_xll.StatSkewness(ST_6verticeRuntimes)</f>
        <v>0.82574231945368382</v>
      </c>
      <c r="N6" s="20">
        <f>_xll.StatSkewness(ST_7verticeRuntimes)</f>
        <v>0.59886065352170093</v>
      </c>
      <c r="O6" s="20">
        <f>_xll.StatSkewness(ST_8verticeRuntimes)</f>
        <v>0.87520667377862893</v>
      </c>
      <c r="P6" s="20">
        <f>_xll.StatSkewness(ST_9verticeRuntimes)</f>
        <v>0.33565946875183261</v>
      </c>
      <c r="Q6" s="20">
        <f>_xll.StatSkewness(ST_10verticeRuntimes)</f>
        <v>-0.24776534344226919</v>
      </c>
      <c r="R6" s="20">
        <f>_xll.StatSkewness(ST_15verticeRuntimes)</f>
        <v>-1.1202706667866136</v>
      </c>
      <c r="S6" s="20">
        <f>_xll.StatSkewness(ST_20verticeRuntimes)</f>
        <v>2.9674608952790691</v>
      </c>
    </row>
    <row r="7" spans="1:28" ht="15" customHeight="1" x14ac:dyDescent="0.3">
      <c r="A7" s="7">
        <v>5</v>
      </c>
      <c r="B7" s="8">
        <v>3.0852179999953928E-3</v>
      </c>
      <c r="C7" s="8">
        <v>0.20266037700000081</v>
      </c>
      <c r="D7" s="8">
        <v>4.4609739999970088E-3</v>
      </c>
      <c r="E7" s="8">
        <v>0.54216762300001164</v>
      </c>
      <c r="F7" s="8">
        <v>0.48005520399999568</v>
      </c>
      <c r="G7" s="8">
        <v>3.5730639999655982E-3</v>
      </c>
      <c r="H7" s="8">
        <v>4.0437659999952302E-3</v>
      </c>
      <c r="I7" s="9">
        <v>0.93947009600003639</v>
      </c>
      <c r="K7" s="14" t="s">
        <v>89</v>
      </c>
      <c r="L7" s="20">
        <f>_xll.StatKurtosis(ST_5verticeRuntimes)</f>
        <v>2.8435867253901863</v>
      </c>
      <c r="M7" s="20">
        <f>_xll.StatKurtosis(ST_6verticeRuntimes)</f>
        <v>1.8083900135949265</v>
      </c>
      <c r="N7" s="20">
        <f>_xll.StatKurtosis(ST_7verticeRuntimes)</f>
        <v>1.5214420208340385</v>
      </c>
      <c r="O7" s="20">
        <f>_xll.StatKurtosis(ST_8verticeRuntimes)</f>
        <v>3.8115833305516977</v>
      </c>
      <c r="P7" s="20">
        <f>_xll.StatKurtosis(ST_9verticeRuntimes)</f>
        <v>1.976403995815029</v>
      </c>
      <c r="Q7" s="20">
        <f>_xll.StatKurtosis(ST_10verticeRuntimes)</f>
        <v>1.1911995431827924</v>
      </c>
      <c r="R7" s="20">
        <f>_xll.StatKurtosis(ST_15verticeRuntimes)</f>
        <v>2.6207365613487568</v>
      </c>
      <c r="S7" s="20">
        <f>_xll.StatKurtosis(ST_20verticeRuntimes)</f>
        <v>14.149788251605834</v>
      </c>
    </row>
    <row r="8" spans="1:28" ht="15" customHeight="1" x14ac:dyDescent="0.3">
      <c r="A8" s="7">
        <v>6</v>
      </c>
      <c r="B8" s="8">
        <v>4.2602549999983808E-3</v>
      </c>
      <c r="C8" s="8">
        <v>3.4808190000035211E-3</v>
      </c>
      <c r="D8" s="8">
        <v>0.4270358109999961</v>
      </c>
      <c r="E8" s="8">
        <v>0.40578988200002192</v>
      </c>
      <c r="F8" s="8">
        <v>5.4064799999764554E-3</v>
      </c>
      <c r="G8" s="8">
        <v>0.44434082999998742</v>
      </c>
      <c r="H8" s="8">
        <v>0.5972071560000245</v>
      </c>
      <c r="I8" s="9">
        <v>0.77689090100000158</v>
      </c>
      <c r="K8" s="14" t="s">
        <v>90</v>
      </c>
      <c r="L8" s="20">
        <f>_xll.StatMedian(ST_5verticeRuntimes)</f>
        <v>3.8545200000044129E-3</v>
      </c>
      <c r="M8" s="20">
        <f>_xll.StatMedian(ST_6verticeRuntimes)</f>
        <v>3.7498539999916152E-3</v>
      </c>
      <c r="N8" s="20">
        <f>_xll.StatMedian(ST_7verticeRuntimes)</f>
        <v>4.7709239999846886E-3</v>
      </c>
      <c r="O8" s="20">
        <f>_xll.StatMedian(ST_8verticeRuntimes)</f>
        <v>5.3962149999904341E-3</v>
      </c>
      <c r="P8" s="20">
        <f>_xll.StatMedian(ST_9verticeRuntimes)</f>
        <v>0.23877576200004569</v>
      </c>
      <c r="Q8" s="20">
        <f>_xll.StatMedian(ST_10verticeRuntimes)</f>
        <v>0.42387575300000441</v>
      </c>
      <c r="R8" s="20">
        <f>_xll.StatMedian(ST_15verticeRuntimes)</f>
        <v>0.57845941899995523</v>
      </c>
      <c r="S8" s="20">
        <f>_xll.StatMedian(ST_20verticeRuntimes)</f>
        <v>0.80056556700003512</v>
      </c>
    </row>
    <row r="9" spans="1:28" ht="15" customHeight="1" x14ac:dyDescent="0.3">
      <c r="A9" s="7">
        <v>7</v>
      </c>
      <c r="B9" s="8">
        <v>0.39693529000000177</v>
      </c>
      <c r="C9" s="8">
        <v>4.0521230000081232E-3</v>
      </c>
      <c r="D9" s="8">
        <v>3.639044999999896E-3</v>
      </c>
      <c r="E9" s="8">
        <v>0.42634099699998268</v>
      </c>
      <c r="F9" s="8">
        <v>4.2492820000461506E-3</v>
      </c>
      <c r="G9" s="8">
        <v>3.5938849999865852E-3</v>
      </c>
      <c r="H9" s="8">
        <v>0.64340587700002061</v>
      </c>
      <c r="I9" s="9">
        <v>0.70685903300000064</v>
      </c>
      <c r="K9" s="14" t="s">
        <v>91</v>
      </c>
      <c r="L9" s="20">
        <f>_xll.StatAveDev(ST_5verticeRuntimes)</f>
        <v>0.13016905871879947</v>
      </c>
      <c r="M9" s="20">
        <f>_xll.StatAveDev(ST_6verticeRuntimes)</f>
        <v>0.15195888438340038</v>
      </c>
      <c r="N9" s="20">
        <f>_xll.StatAveDev(ST_7verticeRuntimes)</f>
        <v>0.19116496472150016</v>
      </c>
      <c r="O9" s="20">
        <f>_xll.StatAveDev(ST_8verticeRuntimes)</f>
        <v>0.22933625358084889</v>
      </c>
      <c r="P9" s="20">
        <f>_xll.StatAveDev(ST_9verticeRuntimes)</f>
        <v>0.23249238133000003</v>
      </c>
      <c r="Q9" s="20">
        <f>_xll.StatAveDev(ST_10verticeRuntimes)</f>
        <v>0.22980869970069798</v>
      </c>
      <c r="R9" s="20">
        <f>_xll.StatAveDev(ST_15verticeRuntimes)</f>
        <v>0.21231489101925002</v>
      </c>
      <c r="S9" s="20">
        <f>_xll.StatAveDev(ST_20verticeRuntimes)</f>
        <v>0.43788170019309353</v>
      </c>
    </row>
    <row r="10" spans="1:28" ht="15" customHeight="1" x14ac:dyDescent="0.3">
      <c r="A10" s="7">
        <v>8</v>
      </c>
      <c r="B10" s="8">
        <v>3.46131799999938E-3</v>
      </c>
      <c r="C10" s="8">
        <v>2.8258339999922551E-3</v>
      </c>
      <c r="D10" s="8">
        <v>4.385906000010209E-3</v>
      </c>
      <c r="E10" s="8">
        <v>0.46357479200000279</v>
      </c>
      <c r="F10" s="8">
        <v>4.4641060000003563E-3</v>
      </c>
      <c r="G10" s="8">
        <v>0.42172279300001492</v>
      </c>
      <c r="H10" s="8">
        <v>3.582006000044657E-3</v>
      </c>
      <c r="I10" s="9">
        <v>0.78040786999997636</v>
      </c>
      <c r="K10" s="14" t="s">
        <v>92</v>
      </c>
      <c r="L10" s="20">
        <f>_xll.StatMode(ST_5verticeRuntimes)</f>
        <v>3.4985166666672285E-3</v>
      </c>
      <c r="M10" s="20">
        <f>_xll.StatMode(ST_6verticeRuntimes)</f>
        <v>3.108245999996484E-3</v>
      </c>
      <c r="N10" s="20">
        <f>_xll.StatMode(ST_7verticeRuntimes)</f>
        <v>3.0447559999989457E-3</v>
      </c>
      <c r="O10" s="20">
        <f>_xll.StatMode(ST_8verticeRuntimes)</f>
        <v>3.5107880000092941E-3</v>
      </c>
      <c r="P10" s="20">
        <f>_xll.StatMode(ST_9verticeRuntimes)</f>
        <v>3.1913306666524477E-3</v>
      </c>
      <c r="Q10" s="20">
        <f>_xll.StatMode(ST_10verticeRuntimes)</f>
        <v>3.6505509999832006E-3</v>
      </c>
      <c r="R10" s="20">
        <f>_xll.StatMode(ST_15verticeRuntimes)</f>
        <v>3.5829006666858731E-3</v>
      </c>
      <c r="S10" s="20">
        <f>_xll.StatMode(ST_20verticeRuntimes)</f>
        <v>5.1809536666951317E-3</v>
      </c>
    </row>
    <row r="11" spans="1:28" ht="15" customHeight="1" x14ac:dyDescent="0.3">
      <c r="A11" s="7">
        <v>9</v>
      </c>
      <c r="B11" s="8">
        <v>0.3460470930000028</v>
      </c>
      <c r="C11" s="8">
        <v>4.2780739999983552E-3</v>
      </c>
      <c r="D11" s="8">
        <v>0.45511936100001549</v>
      </c>
      <c r="E11" s="8">
        <v>3.3780959999774041E-3</v>
      </c>
      <c r="F11" s="8">
        <v>0.40887677500001018</v>
      </c>
      <c r="G11" s="8">
        <v>3.218434000018533E-3</v>
      </c>
      <c r="H11" s="8">
        <v>6.1178270000254997E-3</v>
      </c>
      <c r="I11" s="9">
        <v>1.5814747609999811</v>
      </c>
      <c r="K11" s="14" t="s">
        <v>93</v>
      </c>
      <c r="L11" s="20">
        <f>_xll.StatMin(ST_5verticeRuntimes)</f>
        <v>2.72187600000251E-3</v>
      </c>
      <c r="M11" s="20">
        <f>_xll.StatMin(ST_6verticeRuntimes)</f>
        <v>2.7427509999995441E-3</v>
      </c>
      <c r="N11" s="20">
        <f>_xll.StatMin(ST_7verticeRuntimes)</f>
        <v>2.7504609999766672E-3</v>
      </c>
      <c r="O11" s="20">
        <f>_xll.StatMin(ST_8verticeRuntimes)</f>
        <v>2.8288359999919521E-3</v>
      </c>
      <c r="P11" s="20">
        <f>_xll.StatMin(ST_9verticeRuntimes)</f>
        <v>2.898705999996309E-3</v>
      </c>
      <c r="Q11" s="20">
        <f>_xll.StatMin(ST_10verticeRuntimes)</f>
        <v>2.9389629999627691E-3</v>
      </c>
      <c r="R11" s="20">
        <f>_xll.StatMin(ST_15verticeRuntimes)</f>
        <v>3.50112899997157E-3</v>
      </c>
      <c r="S11" s="20">
        <f>_xll.StatMin(ST_20verticeRuntimes)</f>
        <v>4.3221880000601232E-3</v>
      </c>
    </row>
    <row r="12" spans="1:28" ht="15" customHeight="1" x14ac:dyDescent="0.3">
      <c r="A12" s="7">
        <v>10</v>
      </c>
      <c r="B12" s="8">
        <v>0.37004195700000508</v>
      </c>
      <c r="C12" s="8">
        <v>0.38397547699999279</v>
      </c>
      <c r="D12" s="8">
        <v>3.2739840000033378E-3</v>
      </c>
      <c r="E12" s="8">
        <v>0.46185169400001769</v>
      </c>
      <c r="F12" s="8">
        <v>4.1077669999936006E-3</v>
      </c>
      <c r="G12" s="8">
        <v>0.42528000499999052</v>
      </c>
      <c r="H12" s="8">
        <v>0.89617178599996805</v>
      </c>
      <c r="I12" s="9">
        <v>0.72170784299999013</v>
      </c>
      <c r="K12" s="14" t="s">
        <v>94</v>
      </c>
      <c r="L12" s="20">
        <f>_xll.StatMax(ST_5verticeRuntimes)</f>
        <v>0.50981151599999919</v>
      </c>
      <c r="M12" s="20">
        <f>_xll.StatMax(ST_6verticeRuntimes)</f>
        <v>0.50759727399999122</v>
      </c>
      <c r="N12" s="20">
        <f>_xll.StatMax(ST_7verticeRuntimes)</f>
        <v>0.64634726700001011</v>
      </c>
      <c r="O12" s="20">
        <f>_xll.StatMax(ST_8verticeRuntimes)</f>
        <v>1.3244421060000211</v>
      </c>
      <c r="P12" s="20">
        <f>_xll.StatMax(ST_9verticeRuntimes)</f>
        <v>1.0414276859999629</v>
      </c>
      <c r="Q12" s="20">
        <f>_xll.StatMax(ST_10verticeRuntimes)</f>
        <v>0.66064167100000759</v>
      </c>
      <c r="R12" s="20">
        <f>_xll.StatMax(ST_15verticeRuntimes)</f>
        <v>0.89617178599996805</v>
      </c>
      <c r="S12" s="20">
        <f>_xll.StatMax(ST_20verticeRuntimes)</f>
        <v>5.4888608189999104</v>
      </c>
    </row>
    <row r="13" spans="1:28" ht="15" customHeight="1" x14ac:dyDescent="0.3">
      <c r="A13" s="7">
        <v>11</v>
      </c>
      <c r="B13" s="8">
        <v>3.3104709999989268E-3</v>
      </c>
      <c r="C13" s="8">
        <v>0.3478605760000022</v>
      </c>
      <c r="D13" s="8">
        <v>3.3392740000124381E-3</v>
      </c>
      <c r="E13" s="8">
        <v>3.108111000017288E-3</v>
      </c>
      <c r="F13" s="8">
        <v>0.49705098700002281</v>
      </c>
      <c r="G13" s="8">
        <v>0.45494141699998641</v>
      </c>
      <c r="H13" s="8">
        <v>6.2957239999832382E-3</v>
      </c>
      <c r="I13" s="9">
        <v>0.94894235499998558</v>
      </c>
      <c r="K13" s="14" t="s">
        <v>95</v>
      </c>
      <c r="L13" s="20">
        <f>_xll.StatRange(ST_5verticeRuntimes)</f>
        <v>0.50708963999999668</v>
      </c>
      <c r="M13" s="20">
        <f>_xll.StatRange(ST_6verticeRuntimes)</f>
        <v>0.50485452299999167</v>
      </c>
      <c r="N13" s="20">
        <f>_xll.StatRange(ST_7verticeRuntimes)</f>
        <v>0.64359680600003344</v>
      </c>
      <c r="O13" s="20">
        <f>_xll.StatRange(ST_8verticeRuntimes)</f>
        <v>1.3216132700000291</v>
      </c>
      <c r="P13" s="20">
        <f>_xll.StatRange(ST_9verticeRuntimes)</f>
        <v>1.0385289799999666</v>
      </c>
      <c r="Q13" s="20">
        <f>_xll.StatRange(ST_10verticeRuntimes)</f>
        <v>0.65770270800004482</v>
      </c>
      <c r="R13" s="20">
        <f>_xll.StatRange(ST_15verticeRuntimes)</f>
        <v>0.89267065699999648</v>
      </c>
      <c r="S13" s="20">
        <f>_xll.StatRange(ST_20verticeRuntimes)</f>
        <v>5.4845386309998503</v>
      </c>
    </row>
    <row r="14" spans="1:28" ht="15" customHeight="1" x14ac:dyDescent="0.3">
      <c r="A14" s="7">
        <v>12</v>
      </c>
      <c r="B14" s="8">
        <v>3.716574000002026E-3</v>
      </c>
      <c r="C14" s="8">
        <v>0.2430006579999997</v>
      </c>
      <c r="D14" s="8">
        <v>7.1373720000167404E-3</v>
      </c>
      <c r="E14" s="8">
        <v>4.3118240000126207E-3</v>
      </c>
      <c r="F14" s="8">
        <v>0.4779166100000225</v>
      </c>
      <c r="G14" s="8">
        <v>3.2738429999881191E-3</v>
      </c>
      <c r="H14" s="8">
        <v>3.8515630000119931E-3</v>
      </c>
      <c r="I14" s="9">
        <v>1.1174388519999641</v>
      </c>
      <c r="K14" s="14" t="s">
        <v>96</v>
      </c>
      <c r="L14" s="13">
        <f>_xll.StatCount(ST_5verticeRuntimes)</f>
        <v>200</v>
      </c>
      <c r="M14" s="13">
        <f>_xll.StatCount(ST_6verticeRuntimes)</f>
        <v>200</v>
      </c>
      <c r="N14" s="13">
        <f>_xll.StatCount(ST_7verticeRuntimes)</f>
        <v>200</v>
      </c>
      <c r="O14" s="13">
        <f>_xll.StatCount(ST_8verticeRuntimes)</f>
        <v>200</v>
      </c>
      <c r="P14" s="13">
        <f>_xll.StatCount(ST_9verticeRuntimes)</f>
        <v>200</v>
      </c>
      <c r="Q14" s="13">
        <f>_xll.StatCount(ST_10verticeRuntimes)</f>
        <v>200</v>
      </c>
      <c r="R14" s="13">
        <f>_xll.StatCount(ST_15verticeRuntimes)</f>
        <v>200</v>
      </c>
      <c r="S14" s="13">
        <f>_xll.StatCount(ST_20verticeRuntimes)</f>
        <v>200</v>
      </c>
    </row>
    <row r="15" spans="1:28" ht="15" customHeight="1" x14ac:dyDescent="0.3">
      <c r="A15" s="7">
        <v>13</v>
      </c>
      <c r="B15" s="8">
        <v>3.8299240000014829E-3</v>
      </c>
      <c r="C15" s="8">
        <v>2.9474840000034419E-3</v>
      </c>
      <c r="D15" s="8">
        <v>4.7956379999902774E-3</v>
      </c>
      <c r="E15" s="8">
        <v>3.1550870000103259E-3</v>
      </c>
      <c r="F15" s="8">
        <v>5.325045000006412E-3</v>
      </c>
      <c r="G15" s="8">
        <v>0.41719135099998539</v>
      </c>
      <c r="H15" s="8">
        <v>3.863003999981629E-3</v>
      </c>
      <c r="I15" s="9">
        <v>0.99747635699998227</v>
      </c>
      <c r="K15" s="14" t="s">
        <v>97</v>
      </c>
      <c r="L15" s="20">
        <f>_xll.StatSum(ST_5verticeRuntimes)</f>
        <v>18.454386007999958</v>
      </c>
      <c r="M15" s="20">
        <f>_xll.StatSum(ST_6verticeRuntimes)</f>
        <v>23.712816649000018</v>
      </c>
      <c r="N15" s="20">
        <f>_xll.StatSum(ST_7verticeRuntimes)</f>
        <v>32.106281714999724</v>
      </c>
      <c r="O15" s="20">
        <f>_xll.StatSum(ST_8verticeRuntimes)</f>
        <v>42.942861612999963</v>
      </c>
      <c r="P15" s="20">
        <f>_xll.StatSum(ST_9verticeRuntimes)</f>
        <v>47.886049390000267</v>
      </c>
      <c r="Q15" s="20">
        <f>_xll.StatSum(ST_10verticeRuntimes)</f>
        <v>56.177505657999973</v>
      </c>
      <c r="R15" s="20">
        <f>_xll.StatSum(ST_15verticeRuntimes)</f>
        <v>95.270826373000489</v>
      </c>
      <c r="S15" s="20">
        <f>_xll.StatSum(ST_20verticeRuntimes)</f>
        <v>197.73767276200101</v>
      </c>
    </row>
    <row r="16" spans="1:28" ht="15" customHeight="1" x14ac:dyDescent="0.3">
      <c r="A16" s="7">
        <v>14</v>
      </c>
      <c r="B16" s="8">
        <v>4.4532430000003842E-3</v>
      </c>
      <c r="C16" s="8">
        <v>4.0116420000089192E-3</v>
      </c>
      <c r="D16" s="8">
        <v>3.515694999975949E-3</v>
      </c>
      <c r="E16" s="8">
        <v>3.253422999989652E-3</v>
      </c>
      <c r="F16" s="8">
        <v>3.4563069999649092E-3</v>
      </c>
      <c r="G16" s="8">
        <v>0.43049293100000341</v>
      </c>
      <c r="H16" s="8">
        <v>0.81205565300001581</v>
      </c>
      <c r="I16" s="9">
        <v>0.88160243000004357</v>
      </c>
      <c r="K16" s="14" t="s">
        <v>98</v>
      </c>
      <c r="L16" s="20">
        <f>_xll.StatQuartile(ST_5verticeRuntimes, 1)</f>
        <v>3.1724090000011529E-3</v>
      </c>
      <c r="M16" s="20">
        <f>_xll.StatQuartile(ST_6verticeRuntimes, 1)</f>
        <v>3.1082269999984651E-3</v>
      </c>
      <c r="N16" s="20">
        <f>_xll.StatQuartile(ST_7verticeRuntimes, 1)</f>
        <v>3.2353099999795631E-3</v>
      </c>
      <c r="O16" s="20">
        <f>_xll.StatQuartile(ST_8verticeRuntimes, 1)</f>
        <v>3.6033110000062152E-3</v>
      </c>
      <c r="P16" s="20">
        <f>_xll.StatQuartile(ST_9verticeRuntimes, 1)</f>
        <v>3.569298000002163E-3</v>
      </c>
      <c r="Q16" s="20">
        <f>_xll.StatQuartile(ST_10verticeRuntimes, 1)</f>
        <v>3.7885270000401761E-3</v>
      </c>
      <c r="R16" s="20">
        <f>_xll.StatQuartile(ST_15verticeRuntimes, 1)</f>
        <v>0.51701178700000128</v>
      </c>
      <c r="S16" s="20">
        <f>_xll.StatQuartile(ST_20verticeRuntimes, 1)</f>
        <v>0.71391483799993694</v>
      </c>
    </row>
    <row r="17" spans="1:19" ht="15" customHeight="1" x14ac:dyDescent="0.3">
      <c r="A17" s="7">
        <v>15</v>
      </c>
      <c r="B17" s="8">
        <v>3.653995000000521E-3</v>
      </c>
      <c r="C17" s="8">
        <v>4.1014769999918599E-3</v>
      </c>
      <c r="D17" s="8">
        <v>3.0190360000119649E-3</v>
      </c>
      <c r="E17" s="8">
        <v>2.8288359999919521E-3</v>
      </c>
      <c r="F17" s="8">
        <v>0.50933764600000586</v>
      </c>
      <c r="G17" s="8">
        <v>0.45311370699999998</v>
      </c>
      <c r="H17" s="8">
        <v>0.62790410600001678</v>
      </c>
      <c r="I17" s="9">
        <v>3.6557550420000098</v>
      </c>
      <c r="K17" s="14" t="s">
        <v>99</v>
      </c>
      <c r="L17" s="20">
        <f>_xll.StatQuartile(ST_5verticeRuntimes, 3)</f>
        <v>0.1889225809999999</v>
      </c>
      <c r="M17" s="20">
        <f>_xll.StatQuartile(ST_6verticeRuntimes, 3)</f>
        <v>0.33011567699999489</v>
      </c>
      <c r="N17" s="20">
        <f>_xll.StatQuartile(ST_7verticeRuntimes, 3)</f>
        <v>0.39708994899999078</v>
      </c>
      <c r="O17" s="20">
        <f>_xll.StatQuartile(ST_8verticeRuntimes, 3)</f>
        <v>0.43100735499999132</v>
      </c>
      <c r="P17" s="20">
        <f>_xll.StatQuartile(ST_9verticeRuntimes, 3)</f>
        <v>0.46028615900002018</v>
      </c>
      <c r="Q17" s="20">
        <f>_xll.StatQuartile(ST_10verticeRuntimes, 3)</f>
        <v>0.48357764599995789</v>
      </c>
      <c r="R17" s="20">
        <f>_xll.StatQuartile(ST_15verticeRuntimes, 3)</f>
        <v>0.63409941499998013</v>
      </c>
      <c r="S17" s="20">
        <f>_xll.StatQuartile(ST_20verticeRuntimes, 3)</f>
        <v>0.97916263499996603</v>
      </c>
    </row>
    <row r="18" spans="1:19" ht="15" customHeight="1" x14ac:dyDescent="0.3">
      <c r="A18" s="7">
        <v>16</v>
      </c>
      <c r="B18" s="8">
        <v>2.9901340000009209E-3</v>
      </c>
      <c r="C18" s="8">
        <v>3.577774000007139E-3</v>
      </c>
      <c r="D18" s="8">
        <v>2.8674299999806858E-3</v>
      </c>
      <c r="E18" s="8">
        <v>3.0373969999857309E-3</v>
      </c>
      <c r="F18" s="8">
        <v>0.42768316900003361</v>
      </c>
      <c r="G18" s="8">
        <v>0.42833896000001909</v>
      </c>
      <c r="H18" s="8">
        <v>0.67125275099999726</v>
      </c>
      <c r="I18" s="9">
        <v>0.8042954219999956</v>
      </c>
      <c r="K18" s="18" t="s">
        <v>100</v>
      </c>
      <c r="L18" s="21">
        <f>_xll.StatQuartile(ST_5verticeRuntimes,3) - _xll.StatQuartile(ST_5verticeRuntimes,1)</f>
        <v>0.18575017199999874</v>
      </c>
      <c r="M18" s="21">
        <f>_xll.StatQuartile(ST_6verticeRuntimes,3) - _xll.StatQuartile(ST_6verticeRuntimes,1)</f>
        <v>0.32700744999999642</v>
      </c>
      <c r="N18" s="21">
        <f>_xll.StatQuartile(ST_7verticeRuntimes,3) - _xll.StatQuartile(ST_7verticeRuntimes,1)</f>
        <v>0.39385463900001122</v>
      </c>
      <c r="O18" s="21">
        <f>_xll.StatQuartile(ST_8verticeRuntimes,3) - _xll.StatQuartile(ST_8verticeRuntimes,1)</f>
        <v>0.42740404399998511</v>
      </c>
      <c r="P18" s="21">
        <f>_xll.StatQuartile(ST_9verticeRuntimes,3) - _xll.StatQuartile(ST_9verticeRuntimes,1)</f>
        <v>0.45671686100001802</v>
      </c>
      <c r="Q18" s="21">
        <f>_xll.StatQuartile(ST_10verticeRuntimes,3) - _xll.StatQuartile(ST_10verticeRuntimes,1)</f>
        <v>0.47978911899991772</v>
      </c>
      <c r="R18" s="21">
        <f>_xll.StatQuartile(ST_15verticeRuntimes,3) - _xll.StatQuartile(ST_15verticeRuntimes,1)</f>
        <v>0.11708762799997885</v>
      </c>
      <c r="S18" s="21">
        <f>_xll.StatQuartile(ST_20verticeRuntimes,3) - _xll.StatQuartile(ST_20verticeRuntimes,1)</f>
        <v>0.2652477970000291</v>
      </c>
    </row>
    <row r="19" spans="1:19" ht="15" customHeight="1" x14ac:dyDescent="0.3">
      <c r="A19" s="7">
        <v>17</v>
      </c>
      <c r="B19" s="8">
        <v>0.3747995939999953</v>
      </c>
      <c r="C19" s="8">
        <v>3.320586999990383E-3</v>
      </c>
      <c r="D19" s="8">
        <v>0.43375856099999061</v>
      </c>
      <c r="E19" s="8">
        <v>3.14017200000194E-3</v>
      </c>
      <c r="F19" s="8">
        <v>3.1769880000069861E-3</v>
      </c>
      <c r="G19" s="8">
        <v>0.44518151100004388</v>
      </c>
      <c r="H19" s="8">
        <v>0.63610968500000808</v>
      </c>
      <c r="I19" s="9">
        <v>0.71559183900001244</v>
      </c>
      <c r="K19" s="19">
        <v>0.01</v>
      </c>
      <c r="L19" s="20">
        <f>_xll.StatPercentile(ST_5verticeRuntimes, 0.01)</f>
        <v>2.7255689999989841E-3</v>
      </c>
      <c r="M19" s="20">
        <f>_xll.StatPercentile(ST_6verticeRuntimes, 0.01)</f>
        <v>2.7470969999967561E-3</v>
      </c>
      <c r="N19" s="20">
        <f>_xll.StatPercentile(ST_7verticeRuntimes, 0.01)</f>
        <v>2.7839840000183358E-3</v>
      </c>
      <c r="O19" s="20">
        <f>_xll.StatPercentile(ST_8verticeRuntimes, 0.01)</f>
        <v>2.8961460000118682E-3</v>
      </c>
      <c r="P19" s="20">
        <f>_xll.StatPercentile(ST_9verticeRuntimes, 0.01)</f>
        <v>2.9093989999751102E-3</v>
      </c>
      <c r="Q19" s="20">
        <f>_xll.StatPercentile(ST_10verticeRuntimes, 0.01)</f>
        <v>2.9791360000217541E-3</v>
      </c>
      <c r="R19" s="20">
        <f>_xll.StatPercentile(ST_15verticeRuntimes, 0.01)</f>
        <v>3.5098820000030169E-3</v>
      </c>
      <c r="S19" s="20">
        <f>_xll.StatPercentile(ST_20verticeRuntimes, 0.01)</f>
        <v>4.7000209999623621E-3</v>
      </c>
    </row>
    <row r="20" spans="1:19" ht="15" customHeight="1" x14ac:dyDescent="0.3">
      <c r="A20" s="7">
        <v>18</v>
      </c>
      <c r="B20" s="8">
        <v>0.39813043499999878</v>
      </c>
      <c r="C20" s="8">
        <v>0.35797196000000042</v>
      </c>
      <c r="D20" s="8">
        <v>6.592595000000756E-3</v>
      </c>
      <c r="E20" s="8">
        <v>3.0765980000069248E-3</v>
      </c>
      <c r="F20" s="8">
        <v>0.49137053599997671</v>
      </c>
      <c r="G20" s="8">
        <v>0.43318433300004239</v>
      </c>
      <c r="H20" s="8">
        <v>4.0346920000047248E-3</v>
      </c>
      <c r="I20" s="9">
        <v>3.90345855999999</v>
      </c>
      <c r="K20" s="19">
        <v>2.5000000000000001E-2</v>
      </c>
      <c r="L20" s="20">
        <f>_xll.StatPercentile(ST_5verticeRuntimes, 0.025)</f>
        <v>2.8071209999893649E-3</v>
      </c>
      <c r="M20" s="20">
        <f>_xll.StatPercentile(ST_6verticeRuntimes, 0.025)</f>
        <v>2.7739850000045858E-3</v>
      </c>
      <c r="N20" s="20">
        <f>_xll.StatPercentile(ST_7verticeRuntimes, 0.025)</f>
        <v>2.8259389999902851E-3</v>
      </c>
      <c r="O20" s="20">
        <f>_xll.StatPercentile(ST_8verticeRuntimes, 0.025)</f>
        <v>2.9608220000056922E-3</v>
      </c>
      <c r="P20" s="20">
        <f>_xll.StatPercentile(ST_9verticeRuntimes, 0.025)</f>
        <v>2.984948999994685E-3</v>
      </c>
      <c r="Q20" s="20">
        <f>_xll.StatPercentile(ST_10verticeRuntimes, 0.025)</f>
        <v>3.0798259999755828E-3</v>
      </c>
      <c r="R20" s="20">
        <f>_xll.StatPercentile(ST_15verticeRuntimes, 0.025)</f>
        <v>3.552737999996225E-3</v>
      </c>
      <c r="S20" s="20">
        <f>_xll.StatPercentile(ST_20verticeRuntimes, 0.025)</f>
        <v>5.0765880000653851E-3</v>
      </c>
    </row>
    <row r="21" spans="1:19" ht="15" customHeight="1" x14ac:dyDescent="0.3">
      <c r="A21" s="7">
        <v>19</v>
      </c>
      <c r="B21" s="8">
        <v>0.38518225800000039</v>
      </c>
      <c r="C21" s="8">
        <v>3.1311059999978852E-3</v>
      </c>
      <c r="D21" s="8">
        <v>0.24189711399998259</v>
      </c>
      <c r="E21" s="8">
        <v>3.160416999975268E-3</v>
      </c>
      <c r="F21" s="8">
        <v>0.52788822999997365</v>
      </c>
      <c r="G21" s="8">
        <v>0.48527397499998409</v>
      </c>
      <c r="H21" s="8">
        <v>0.68082303800002819</v>
      </c>
      <c r="I21" s="9">
        <v>0.84878419800008942</v>
      </c>
      <c r="K21" s="19">
        <v>0.05</v>
      </c>
      <c r="L21" s="20">
        <f>_xll.StatPercentile(ST_5verticeRuntimes, 0.05)</f>
        <v>2.8437270000054582E-3</v>
      </c>
      <c r="M21" s="20">
        <f>_xll.StatPercentile(ST_6verticeRuntimes, 0.05)</f>
        <v>2.8222680000027371E-3</v>
      </c>
      <c r="N21" s="20">
        <f>_xll.StatPercentile(ST_7verticeRuntimes, 0.05)</f>
        <v>2.8674299999806858E-3</v>
      </c>
      <c r="O21" s="20">
        <f>_xll.StatPercentile(ST_8verticeRuntimes, 0.05)</f>
        <v>3.0633460000046848E-3</v>
      </c>
      <c r="P21" s="20">
        <f>_xll.StatPercentile(ST_9verticeRuntimes, 0.05)</f>
        <v>3.0910199999993888E-3</v>
      </c>
      <c r="Q21" s="20">
        <f>_xll.StatPercentile(ST_10verticeRuntimes, 0.05)</f>
        <v>3.2041800000115468E-3</v>
      </c>
      <c r="R21" s="20">
        <f>_xll.StatPercentile(ST_15verticeRuntimes, 0.05)</f>
        <v>3.6348840000073319E-3</v>
      </c>
      <c r="S21" s="20">
        <f>_xll.StatPercentile(ST_20verticeRuntimes, 0.05)</f>
        <v>6.4895169999772406E-3</v>
      </c>
    </row>
    <row r="22" spans="1:19" ht="15" customHeight="1" x14ac:dyDescent="0.3">
      <c r="A22" s="7">
        <v>20</v>
      </c>
      <c r="B22" s="8">
        <v>4.7199380000009228E-3</v>
      </c>
      <c r="C22" s="8">
        <v>3.4512340000105719E-3</v>
      </c>
      <c r="D22" s="8">
        <v>0.38230005299999448</v>
      </c>
      <c r="E22" s="8">
        <v>0.46437921800000481</v>
      </c>
      <c r="F22" s="8">
        <v>3.1332100000440728E-3</v>
      </c>
      <c r="G22" s="8">
        <v>3.32142100000965E-3</v>
      </c>
      <c r="H22" s="8">
        <v>0.57625295600001891</v>
      </c>
      <c r="I22" s="9">
        <v>1.635964143000024</v>
      </c>
      <c r="K22" s="19">
        <v>0.1</v>
      </c>
      <c r="L22" s="20">
        <f>_xll.StatPercentile(ST_5verticeRuntimes, 0.1)</f>
        <v>2.9099819999984788E-3</v>
      </c>
      <c r="M22" s="20">
        <f>_xll.StatPercentile(ST_6verticeRuntimes, 0.1)</f>
        <v>2.9508890000045081E-3</v>
      </c>
      <c r="N22" s="20">
        <f>_xll.StatPercentile(ST_7verticeRuntimes, 0.1)</f>
        <v>2.982390999989093E-3</v>
      </c>
      <c r="O22" s="20">
        <f>_xll.StatPercentile(ST_8verticeRuntimes, 0.1)</f>
        <v>3.154066999996985E-3</v>
      </c>
      <c r="P22" s="20">
        <f>_xll.StatPercentile(ST_9verticeRuntimes, 0.1)</f>
        <v>3.1383790000063532E-3</v>
      </c>
      <c r="Q22" s="20">
        <f>_xll.StatPercentile(ST_10verticeRuntimes, 0.1)</f>
        <v>3.2732120000105169E-3</v>
      </c>
      <c r="R22" s="20">
        <f>_xll.StatPercentile(ST_15verticeRuntimes, 0.1)</f>
        <v>3.9765229999488838E-3</v>
      </c>
      <c r="S22" s="20">
        <f>_xll.StatPercentile(ST_20verticeRuntimes, 0.1)</f>
        <v>0.65279719199997999</v>
      </c>
    </row>
    <row r="23" spans="1:19" ht="15" customHeight="1" x14ac:dyDescent="0.3">
      <c r="A23" s="7">
        <v>21</v>
      </c>
      <c r="B23" s="8">
        <v>0.45783383199999861</v>
      </c>
      <c r="C23" s="8">
        <v>0.36032634899999039</v>
      </c>
      <c r="D23" s="8">
        <v>0.43727606000001629</v>
      </c>
      <c r="E23" s="8">
        <v>0.44163179199998132</v>
      </c>
      <c r="F23" s="8">
        <v>0.44948641799999223</v>
      </c>
      <c r="G23" s="8">
        <v>4.141035000031934E-3</v>
      </c>
      <c r="H23" s="8">
        <v>0.63409941499998013</v>
      </c>
      <c r="I23" s="9">
        <v>0.82553343999995832</v>
      </c>
      <c r="K23" s="19">
        <v>0.2</v>
      </c>
      <c r="L23" s="20">
        <f>_xll.StatPercentile(ST_5verticeRuntimes, 0.2)</f>
        <v>3.0815779999997521E-3</v>
      </c>
      <c r="M23" s="20">
        <f>_xll.StatPercentile(ST_6verticeRuntimes, 0.2)</f>
        <v>3.0366980000025019E-3</v>
      </c>
      <c r="N23" s="20">
        <f>_xll.StatPercentile(ST_7verticeRuntimes, 0.2)</f>
        <v>3.11245699998608E-3</v>
      </c>
      <c r="O23" s="20">
        <f>_xll.StatPercentile(ST_8verticeRuntimes, 0.2)</f>
        <v>3.4713819999865341E-3</v>
      </c>
      <c r="P23" s="20">
        <f>_xll.StatPercentile(ST_9verticeRuntimes, 0.2)</f>
        <v>3.3696950000035031E-3</v>
      </c>
      <c r="Q23" s="20">
        <f>_xll.StatPercentile(ST_10verticeRuntimes, 0.2)</f>
        <v>3.589839999960986E-3</v>
      </c>
      <c r="R23" s="20">
        <f>_xll.StatPercentile(ST_15verticeRuntimes, 0.2)</f>
        <v>5.9001779999903192E-3</v>
      </c>
      <c r="S23" s="20">
        <f>_xll.StatPercentile(ST_20verticeRuntimes, 0.2)</f>
        <v>0.70012651400008963</v>
      </c>
    </row>
    <row r="24" spans="1:19" ht="15" customHeight="1" x14ac:dyDescent="0.3">
      <c r="A24" s="7">
        <v>22</v>
      </c>
      <c r="B24" s="8">
        <v>3.4978670000000989E-3</v>
      </c>
      <c r="C24" s="8">
        <v>0.35111859799999928</v>
      </c>
      <c r="D24" s="8">
        <v>3.2542980000016541E-3</v>
      </c>
      <c r="E24" s="8">
        <v>4.3084339999950316E-3</v>
      </c>
      <c r="F24" s="8">
        <v>4.0020449999929042E-3</v>
      </c>
      <c r="G24" s="8">
        <v>3.8093580000122529E-3</v>
      </c>
      <c r="H24" s="8">
        <v>0.66326676500000303</v>
      </c>
      <c r="I24" s="9">
        <v>0.88141241899995748</v>
      </c>
      <c r="K24" s="19">
        <v>0.8</v>
      </c>
      <c r="L24" s="20">
        <f>_xll.StatPercentile(ST_5verticeRuntimes, 0.8)</f>
        <v>0.27097818000000018</v>
      </c>
      <c r="M24" s="20">
        <f>_xll.StatPercentile(ST_6verticeRuntimes, 0.8)</f>
        <v>0.35364322200000231</v>
      </c>
      <c r="N24" s="20">
        <f>_xll.StatPercentile(ST_7verticeRuntimes, 0.8)</f>
        <v>0.41000926300000629</v>
      </c>
      <c r="O24" s="20">
        <f>_xll.StatPercentile(ST_8verticeRuntimes, 0.8)</f>
        <v>0.44992016200001222</v>
      </c>
      <c r="P24" s="20">
        <f>_xll.StatPercentile(ST_9verticeRuntimes, 0.8)</f>
        <v>0.47589592299999589</v>
      </c>
      <c r="Q24" s="20">
        <f>_xll.StatPercentile(ST_10verticeRuntimes, 0.8)</f>
        <v>0.48855628699999443</v>
      </c>
      <c r="R24" s="20">
        <f>_xll.StatPercentile(ST_15verticeRuntimes, 0.8)</f>
        <v>0.6446966620000012</v>
      </c>
      <c r="S24" s="20">
        <f>_xll.StatPercentile(ST_20verticeRuntimes, 0.8)</f>
        <v>1.079643601000043</v>
      </c>
    </row>
    <row r="25" spans="1:19" ht="15" customHeight="1" x14ac:dyDescent="0.3">
      <c r="A25" s="7">
        <v>23</v>
      </c>
      <c r="B25" s="8">
        <v>3.498709999995242E-3</v>
      </c>
      <c r="C25" s="8">
        <v>3.170853000000307E-3</v>
      </c>
      <c r="D25" s="8">
        <v>0.37758335999998849</v>
      </c>
      <c r="E25" s="8">
        <v>0.45604594799999632</v>
      </c>
      <c r="F25" s="8">
        <v>4.7215379999556717E-3</v>
      </c>
      <c r="G25" s="8">
        <v>3.729364999969675E-3</v>
      </c>
      <c r="H25" s="8">
        <v>0.6679453979999721</v>
      </c>
      <c r="I25" s="9">
        <v>0.70511794800006555</v>
      </c>
      <c r="K25" s="19">
        <v>0.9</v>
      </c>
      <c r="L25" s="20">
        <f>_xll.StatPercentile(ST_5verticeRuntimes, 0.9)</f>
        <v>0.37148300199999801</v>
      </c>
      <c r="M25" s="20">
        <f>_xll.StatPercentile(ST_6verticeRuntimes, 0.9)</f>
        <v>0.37419276199999268</v>
      </c>
      <c r="N25" s="20">
        <f>_xll.StatPercentile(ST_7verticeRuntimes, 0.9)</f>
        <v>0.43917922600002163</v>
      </c>
      <c r="O25" s="20">
        <f>_xll.StatPercentile(ST_8verticeRuntimes, 0.9)</f>
        <v>0.46437921800000481</v>
      </c>
      <c r="P25" s="20">
        <f>_xll.StatPercentile(ST_9verticeRuntimes, 0.9)</f>
        <v>0.49914386500000768</v>
      </c>
      <c r="Q25" s="20">
        <f>_xll.StatPercentile(ST_10verticeRuntimes, 0.9)</f>
        <v>0.5200520660000052</v>
      </c>
      <c r="R25" s="20">
        <f>_xll.StatPercentile(ST_15verticeRuntimes, 0.9)</f>
        <v>0.66987030100000311</v>
      </c>
      <c r="S25" s="20">
        <f>_xll.StatPercentile(ST_20verticeRuntimes, 0.9)</f>
        <v>1.517712579999966</v>
      </c>
    </row>
    <row r="26" spans="1:19" ht="15" customHeight="1" x14ac:dyDescent="0.3">
      <c r="A26" s="7">
        <v>24</v>
      </c>
      <c r="B26" s="8">
        <v>5.3347160000001281E-3</v>
      </c>
      <c r="C26" s="8">
        <v>0.35771838099999798</v>
      </c>
      <c r="D26" s="8">
        <v>0.37592607099998082</v>
      </c>
      <c r="E26" s="8">
        <v>3.260186999995085E-3</v>
      </c>
      <c r="F26" s="8">
        <v>4.2209329999991496E-3</v>
      </c>
      <c r="G26" s="8">
        <v>0.44445216100001522</v>
      </c>
      <c r="H26" s="8">
        <v>0.66423458900004562</v>
      </c>
      <c r="I26" s="9">
        <v>0.76221989600003326</v>
      </c>
      <c r="K26" s="19">
        <v>0.95</v>
      </c>
      <c r="L26" s="20">
        <f>_xll.StatPercentile(ST_5verticeRuntimes, 0.95)</f>
        <v>0.39693529000000177</v>
      </c>
      <c r="M26" s="20">
        <f>_xll.StatPercentile(ST_6verticeRuntimes, 0.95)</f>
        <v>0.39388383600000049</v>
      </c>
      <c r="N26" s="20">
        <f>_xll.StatPercentile(ST_7verticeRuntimes, 0.95)</f>
        <v>0.46232973400000787</v>
      </c>
      <c r="O26" s="20">
        <f>_xll.StatPercentile(ST_8verticeRuntimes, 0.95)</f>
        <v>0.51242088499998317</v>
      </c>
      <c r="P26" s="20">
        <f>_xll.StatPercentile(ST_9verticeRuntimes, 0.95)</f>
        <v>0.52203397600004564</v>
      </c>
      <c r="Q26" s="20">
        <f>_xll.StatPercentile(ST_10verticeRuntimes, 0.95)</f>
        <v>0.54569996199995785</v>
      </c>
      <c r="R26" s="20">
        <f>_xll.StatPercentile(ST_15verticeRuntimes, 0.95)</f>
        <v>0.73547535799997377</v>
      </c>
      <c r="S26" s="20">
        <f>_xll.StatPercentile(ST_20verticeRuntimes, 0.95)</f>
        <v>2.5415268519999472</v>
      </c>
    </row>
    <row r="27" spans="1:19" ht="15" customHeight="1" x14ac:dyDescent="0.3">
      <c r="A27" s="7">
        <v>25</v>
      </c>
      <c r="B27" s="8">
        <v>0.22017492299999469</v>
      </c>
      <c r="C27" s="8">
        <v>3.030297000009341E-3</v>
      </c>
      <c r="D27" s="8">
        <v>0.38479050999998782</v>
      </c>
      <c r="E27" s="8">
        <v>0.4141768519999971</v>
      </c>
      <c r="F27" s="8">
        <v>0.45668330000000878</v>
      </c>
      <c r="G27" s="8">
        <v>0.50597809499998903</v>
      </c>
      <c r="H27" s="8">
        <v>0.60665322500000229</v>
      </c>
      <c r="I27" s="9">
        <v>0.68772142199998143</v>
      </c>
      <c r="K27" s="19">
        <v>0.97499999999999998</v>
      </c>
      <c r="L27" s="20">
        <f>_xll.StatPercentile(ST_5verticeRuntimes, 0.975)</f>
        <v>0.40974887199999438</v>
      </c>
      <c r="M27" s="20">
        <f>_xll.StatPercentile(ST_6verticeRuntimes, 0.975)</f>
        <v>0.4017886439999927</v>
      </c>
      <c r="N27" s="20">
        <f>_xll.StatPercentile(ST_7verticeRuntimes, 0.975)</f>
        <v>0.48019497900000369</v>
      </c>
      <c r="O27" s="20">
        <f>_xll.StatPercentile(ST_8verticeRuntimes, 0.975)</f>
        <v>0.62130642099998568</v>
      </c>
      <c r="P27" s="20">
        <f>_xll.StatPercentile(ST_9verticeRuntimes, 0.975)</f>
        <v>0.52943581900001391</v>
      </c>
      <c r="Q27" s="20">
        <f>_xll.StatPercentile(ST_10verticeRuntimes, 0.975)</f>
        <v>0.59711353599999484</v>
      </c>
      <c r="R27" s="20">
        <f>_xll.StatPercentile(ST_15verticeRuntimes, 0.975)</f>
        <v>0.77342808700001342</v>
      </c>
      <c r="S27" s="20">
        <f>_xll.StatPercentile(ST_20verticeRuntimes, 0.975)</f>
        <v>3.6557550420000098</v>
      </c>
    </row>
    <row r="28" spans="1:19" ht="15" customHeight="1" x14ac:dyDescent="0.3">
      <c r="A28" s="7">
        <v>26</v>
      </c>
      <c r="B28" s="8">
        <v>3.1930390000027842E-3</v>
      </c>
      <c r="C28" s="8">
        <v>0.33011567699999489</v>
      </c>
      <c r="D28" s="8">
        <v>3.07288199999789E-3</v>
      </c>
      <c r="E28" s="8">
        <v>0.46204625400000049</v>
      </c>
      <c r="F28" s="8">
        <v>0.52203397600004564</v>
      </c>
      <c r="G28" s="8">
        <v>4.8219699999663126E-3</v>
      </c>
      <c r="H28" s="8">
        <v>0.59393781199997875</v>
      </c>
      <c r="I28" s="9">
        <v>0.7631926139999905</v>
      </c>
      <c r="K28" s="19">
        <v>0.99</v>
      </c>
      <c r="L28" s="20">
        <f>_xll.StatPercentile(ST_5verticeRuntimes, 0.99)</f>
        <v>0.42930173599999932</v>
      </c>
      <c r="M28" s="20">
        <f>_xll.StatPercentile(ST_6verticeRuntimes, 0.99)</f>
        <v>0.41229867799999909</v>
      </c>
      <c r="N28" s="20">
        <f>_xll.StatPercentile(ST_7verticeRuntimes, 0.99)</f>
        <v>0.53709379000000013</v>
      </c>
      <c r="O28" s="20">
        <f>_xll.StatPercentile(ST_8verticeRuntimes, 0.99)</f>
        <v>0.88314584899998749</v>
      </c>
      <c r="P28" s="20">
        <f>_xll.StatPercentile(ST_9verticeRuntimes, 0.99)</f>
        <v>0.80543723400000999</v>
      </c>
      <c r="Q28" s="20">
        <f>_xll.StatPercentile(ST_10verticeRuntimes, 0.99)</f>
        <v>0.61293906500003459</v>
      </c>
      <c r="R28" s="20">
        <f>_xll.StatPercentile(ST_15verticeRuntimes, 0.99)</f>
        <v>0.81205565300001581</v>
      </c>
      <c r="S28" s="20">
        <f>_xll.StatPercentile(ST_20verticeRuntimes, 0.99)</f>
        <v>4.0392872099999977</v>
      </c>
    </row>
    <row r="29" spans="1:19" x14ac:dyDescent="0.3">
      <c r="A29" s="7">
        <v>27</v>
      </c>
      <c r="B29" s="8">
        <v>4.3593010000009258E-3</v>
      </c>
      <c r="C29" s="8">
        <v>3.004757999988783E-3</v>
      </c>
      <c r="D29" s="8">
        <v>3.9427039999964109E-3</v>
      </c>
      <c r="E29" s="8">
        <v>0.41650970899999612</v>
      </c>
      <c r="F29" s="8">
        <v>5.3953350000028877E-3</v>
      </c>
      <c r="G29" s="8">
        <v>7.7207890000181578E-3</v>
      </c>
      <c r="H29" s="8">
        <v>3.9172999999550484E-3</v>
      </c>
      <c r="I29" s="9">
        <v>0.77841921899994304</v>
      </c>
    </row>
    <row r="30" spans="1:19" x14ac:dyDescent="0.3">
      <c r="A30" s="7">
        <v>28</v>
      </c>
      <c r="B30" s="8">
        <v>5.8683409999957803E-3</v>
      </c>
      <c r="C30" s="8">
        <v>2.8222680000027371E-3</v>
      </c>
      <c r="D30" s="8">
        <v>0.41000926300000629</v>
      </c>
      <c r="E30" s="8">
        <v>4.8272580000059406E-3</v>
      </c>
      <c r="F30" s="8">
        <v>0.44116123100002369</v>
      </c>
      <c r="G30" s="8">
        <v>0.49431981800000813</v>
      </c>
      <c r="H30" s="8">
        <v>0.76383622700001297</v>
      </c>
      <c r="I30" s="9">
        <v>1.17146590699997</v>
      </c>
    </row>
    <row r="31" spans="1:19" x14ac:dyDescent="0.3">
      <c r="A31" s="7">
        <v>29</v>
      </c>
      <c r="B31" s="8">
        <v>3.7591509999970189E-3</v>
      </c>
      <c r="C31" s="8">
        <v>0.36598489500001108</v>
      </c>
      <c r="D31" s="8">
        <v>3.0393109999806711E-3</v>
      </c>
      <c r="E31" s="8">
        <v>0.46201777800001759</v>
      </c>
      <c r="F31" s="8">
        <v>3.758634999996957E-3</v>
      </c>
      <c r="G31" s="8">
        <v>0.59711353599999484</v>
      </c>
      <c r="H31" s="8">
        <v>1.507476500000848E-2</v>
      </c>
      <c r="I31" s="9">
        <v>1.8368010489999731</v>
      </c>
    </row>
    <row r="32" spans="1:19" x14ac:dyDescent="0.3">
      <c r="A32" s="7">
        <v>30</v>
      </c>
      <c r="B32" s="8">
        <v>3.9636770000015531E-3</v>
      </c>
      <c r="C32" s="8">
        <v>0.19756797900001291</v>
      </c>
      <c r="D32" s="8">
        <v>3.752792999989651E-3</v>
      </c>
      <c r="E32" s="8">
        <v>0.41030855600001809</v>
      </c>
      <c r="F32" s="8">
        <v>0.43090704399997998</v>
      </c>
      <c r="G32" s="8">
        <v>0.49808128899996967</v>
      </c>
      <c r="H32" s="8">
        <v>0.70996422900003608</v>
      </c>
      <c r="I32" s="9">
        <v>1.1184932750001051</v>
      </c>
    </row>
    <row r="33" spans="1:9" x14ac:dyDescent="0.3">
      <c r="A33" s="7">
        <v>31</v>
      </c>
      <c r="B33" s="8">
        <v>0.40974887199999438</v>
      </c>
      <c r="C33" s="8">
        <v>3.4949200000085061E-3</v>
      </c>
      <c r="D33" s="8">
        <v>0.37780039000000443</v>
      </c>
      <c r="E33" s="8">
        <v>3.0953139999780892E-3</v>
      </c>
      <c r="F33" s="8">
        <v>0.52535247999998091</v>
      </c>
      <c r="G33" s="8">
        <v>0.45093850400002111</v>
      </c>
      <c r="H33" s="8">
        <v>0.59010027999994463</v>
      </c>
      <c r="I33" s="9">
        <v>1.039068529000019</v>
      </c>
    </row>
    <row r="34" spans="1:9" x14ac:dyDescent="0.3">
      <c r="A34" s="7">
        <v>32</v>
      </c>
      <c r="B34" s="8">
        <v>0.23157453799999669</v>
      </c>
      <c r="C34" s="8">
        <v>3.3782259999952662E-3</v>
      </c>
      <c r="D34" s="8">
        <v>3.0352349999986932E-3</v>
      </c>
      <c r="E34" s="8">
        <v>6.3682740000103877E-3</v>
      </c>
      <c r="F34" s="8">
        <v>3.4765060000268022E-3</v>
      </c>
      <c r="G34" s="8">
        <v>0.4988210089999825</v>
      </c>
      <c r="H34" s="8">
        <v>0.66987030100000311</v>
      </c>
      <c r="I34" s="9">
        <v>0.80391164200000276</v>
      </c>
    </row>
    <row r="35" spans="1:9" x14ac:dyDescent="0.3">
      <c r="A35" s="7">
        <v>33</v>
      </c>
      <c r="B35" s="8">
        <v>6.210440000003814E-3</v>
      </c>
      <c r="C35" s="8">
        <v>4.5281740000007176E-3</v>
      </c>
      <c r="D35" s="8">
        <v>0.37660760199997872</v>
      </c>
      <c r="E35" s="8">
        <v>2.8961460000118682E-3</v>
      </c>
      <c r="F35" s="8">
        <v>2.9422659999909229E-3</v>
      </c>
      <c r="G35" s="8">
        <v>0.50129296599999407</v>
      </c>
      <c r="H35" s="8">
        <v>0.57577886199999284</v>
      </c>
      <c r="I35" s="9">
        <v>0.73407931400004145</v>
      </c>
    </row>
    <row r="36" spans="1:9" x14ac:dyDescent="0.3">
      <c r="A36" s="7">
        <v>34</v>
      </c>
      <c r="B36" s="8">
        <v>0.42228234299999912</v>
      </c>
      <c r="C36" s="8">
        <v>3.0321489999920459E-3</v>
      </c>
      <c r="D36" s="8">
        <v>0.34153731600000009</v>
      </c>
      <c r="E36" s="8">
        <v>4.3301119999910043E-3</v>
      </c>
      <c r="F36" s="8">
        <v>1.0418451999953501E-2</v>
      </c>
      <c r="G36" s="8">
        <v>0.52207735499996488</v>
      </c>
      <c r="H36" s="8">
        <v>4.1495180000197252E-3</v>
      </c>
      <c r="I36" s="9">
        <v>0.68778911599997627</v>
      </c>
    </row>
    <row r="37" spans="1:9" x14ac:dyDescent="0.3">
      <c r="A37" s="7">
        <v>35</v>
      </c>
      <c r="B37" s="8">
        <v>3.8545200000044129E-3</v>
      </c>
      <c r="C37" s="8">
        <v>0.4017886439999927</v>
      </c>
      <c r="D37" s="8">
        <v>2.982390999989093E-3</v>
      </c>
      <c r="E37" s="8">
        <v>0.40811301599998728</v>
      </c>
      <c r="F37" s="8">
        <v>3.1897939999794289E-3</v>
      </c>
      <c r="G37" s="8">
        <v>4.5551439999940158E-3</v>
      </c>
      <c r="H37" s="8">
        <v>0.60293329000000995</v>
      </c>
      <c r="I37" s="9">
        <v>0.75756627999999182</v>
      </c>
    </row>
    <row r="38" spans="1:9" x14ac:dyDescent="0.3">
      <c r="A38" s="7">
        <v>36</v>
      </c>
      <c r="B38" s="8">
        <v>0.40143217500000361</v>
      </c>
      <c r="C38" s="8">
        <v>0.32476426800000979</v>
      </c>
      <c r="D38" s="8">
        <v>2.7839840000183358E-3</v>
      </c>
      <c r="E38" s="8">
        <v>3.1264170000042668E-3</v>
      </c>
      <c r="F38" s="8">
        <v>3.7531720000174569E-3</v>
      </c>
      <c r="G38" s="8">
        <v>0.4598183059999883</v>
      </c>
      <c r="H38" s="8">
        <v>0.57459508400000914</v>
      </c>
      <c r="I38" s="9">
        <v>0.81219178900005318</v>
      </c>
    </row>
    <row r="39" spans="1:9" x14ac:dyDescent="0.3">
      <c r="A39" s="7">
        <v>37</v>
      </c>
      <c r="B39" s="8">
        <v>3.8976689999969949E-3</v>
      </c>
      <c r="C39" s="8">
        <v>3.0343899999962791E-3</v>
      </c>
      <c r="D39" s="8">
        <v>0.41679461000001078</v>
      </c>
      <c r="E39" s="8">
        <v>0.45830097799998271</v>
      </c>
      <c r="F39" s="8">
        <v>6.7556000000195127E-3</v>
      </c>
      <c r="G39" s="8">
        <v>0.54289581800003361</v>
      </c>
      <c r="H39" s="8">
        <v>0.57109893900002362</v>
      </c>
      <c r="I39" s="9">
        <v>2.422457129999998</v>
      </c>
    </row>
    <row r="40" spans="1:9" x14ac:dyDescent="0.3">
      <c r="A40" s="7">
        <v>38</v>
      </c>
      <c r="B40" s="8">
        <v>3.3536199999986138E-3</v>
      </c>
      <c r="C40" s="8">
        <v>2.790813000004277E-3</v>
      </c>
      <c r="D40" s="8">
        <v>0.33540919399999319</v>
      </c>
      <c r="E40" s="8">
        <v>6.0002519999784454E-3</v>
      </c>
      <c r="F40" s="8">
        <v>0.49617391599997518</v>
      </c>
      <c r="G40" s="8">
        <v>3.476983999973982E-3</v>
      </c>
      <c r="H40" s="8">
        <v>3.6348840000073319E-3</v>
      </c>
      <c r="I40" s="9">
        <v>0.74554025599991292</v>
      </c>
    </row>
    <row r="41" spans="1:9" x14ac:dyDescent="0.3">
      <c r="A41" s="7">
        <v>39</v>
      </c>
      <c r="B41" s="8">
        <v>3.7903200000002362E-3</v>
      </c>
      <c r="C41" s="8">
        <v>0.35789676699999973</v>
      </c>
      <c r="D41" s="8">
        <v>0.368606227000015</v>
      </c>
      <c r="E41" s="8">
        <v>0.38768707500000232</v>
      </c>
      <c r="F41" s="8">
        <v>0.27660438100002688</v>
      </c>
      <c r="G41" s="8">
        <v>0.48378748100003582</v>
      </c>
      <c r="H41" s="8">
        <v>0.60579326700002412</v>
      </c>
      <c r="I41" s="9">
        <v>0.65384999600007632</v>
      </c>
    </row>
    <row r="42" spans="1:9" x14ac:dyDescent="0.3">
      <c r="A42" s="7">
        <v>40</v>
      </c>
      <c r="B42" s="8">
        <v>3.0842890000002399E-3</v>
      </c>
      <c r="C42" s="8">
        <v>4.1310029999976896E-3</v>
      </c>
      <c r="D42" s="8">
        <v>0.41824643199998951</v>
      </c>
      <c r="E42" s="8">
        <v>0.21620410099998821</v>
      </c>
      <c r="F42" s="8">
        <v>3.2183499999973719E-3</v>
      </c>
      <c r="G42" s="8">
        <v>6.103500999984135E-3</v>
      </c>
      <c r="H42" s="8">
        <v>4.0732260000027054E-3</v>
      </c>
      <c r="I42" s="9">
        <v>0.73523715099997844</v>
      </c>
    </row>
    <row r="43" spans="1:9" x14ac:dyDescent="0.3">
      <c r="A43" s="7">
        <v>41</v>
      </c>
      <c r="B43" s="8">
        <v>3.9760800000010477E-3</v>
      </c>
      <c r="C43" s="8">
        <v>4.1891319999933776E-3</v>
      </c>
      <c r="D43" s="8">
        <v>0.36167319399999093</v>
      </c>
      <c r="E43" s="8">
        <v>0.36820978099999019</v>
      </c>
      <c r="F43" s="8">
        <v>4.1575080000484377E-3</v>
      </c>
      <c r="G43" s="8">
        <v>0.48673091699998849</v>
      </c>
      <c r="H43" s="8">
        <v>0.61050468499996668</v>
      </c>
      <c r="I43" s="9">
        <v>0.76087056500000472</v>
      </c>
    </row>
    <row r="44" spans="1:9" x14ac:dyDescent="0.3">
      <c r="A44" s="7">
        <v>42</v>
      </c>
      <c r="B44" s="8">
        <v>0.38495432899999571</v>
      </c>
      <c r="C44" s="8">
        <v>0.1981838000000096</v>
      </c>
      <c r="D44" s="8">
        <v>0.33529223600001501</v>
      </c>
      <c r="E44" s="8">
        <v>0.44875924400000139</v>
      </c>
      <c r="F44" s="8">
        <v>0.48402179199996448</v>
      </c>
      <c r="G44" s="8">
        <v>0.42387575300000441</v>
      </c>
      <c r="H44" s="8">
        <v>0.60683090999998512</v>
      </c>
      <c r="I44" s="9">
        <v>0.92306003700002748</v>
      </c>
    </row>
    <row r="45" spans="1:9" x14ac:dyDescent="0.3">
      <c r="A45" s="7">
        <v>43</v>
      </c>
      <c r="B45" s="8">
        <v>3.102134000002366E-3</v>
      </c>
      <c r="C45" s="8">
        <v>3.6537900000013219E-3</v>
      </c>
      <c r="D45" s="8">
        <v>3.089576999997234E-3</v>
      </c>
      <c r="E45" s="8">
        <v>0.40288087600001182</v>
      </c>
      <c r="F45" s="8">
        <v>0.50556105799995521</v>
      </c>
      <c r="G45" s="8">
        <v>3.2139560000246088E-3</v>
      </c>
      <c r="H45" s="8">
        <v>0.68208525400001463</v>
      </c>
      <c r="I45" s="9">
        <v>0.66974831699997139</v>
      </c>
    </row>
    <row r="46" spans="1:9" x14ac:dyDescent="0.3">
      <c r="A46" s="7">
        <v>44</v>
      </c>
      <c r="B46" s="8">
        <v>4.1654879999981631E-3</v>
      </c>
      <c r="C46" s="8">
        <v>4.0130370000071034E-3</v>
      </c>
      <c r="D46" s="8">
        <v>4.5653630000117573E-3</v>
      </c>
      <c r="E46" s="8">
        <v>0.41282994299999132</v>
      </c>
      <c r="F46" s="8">
        <v>4.3348120000246126E-3</v>
      </c>
      <c r="G46" s="8">
        <v>0.45780818200000789</v>
      </c>
      <c r="H46" s="8">
        <v>4.3343190000086906E-3</v>
      </c>
      <c r="I46" s="9">
        <v>0.7651642850000826</v>
      </c>
    </row>
    <row r="47" spans="1:9" x14ac:dyDescent="0.3">
      <c r="A47" s="7">
        <v>45</v>
      </c>
      <c r="B47" s="8">
        <v>3.6673249999950031E-3</v>
      </c>
      <c r="C47" s="8">
        <v>4.0039790000037101E-3</v>
      </c>
      <c r="D47" s="8">
        <v>0.17907327899999359</v>
      </c>
      <c r="E47" s="8">
        <v>0.42728099799998631</v>
      </c>
      <c r="F47" s="8">
        <v>0.48500444600000492</v>
      </c>
      <c r="G47" s="8">
        <v>3.59248199998774E-3</v>
      </c>
      <c r="H47" s="8">
        <v>0.66091023500001711</v>
      </c>
      <c r="I47" s="9">
        <v>0.82664634499997192</v>
      </c>
    </row>
    <row r="48" spans="1:9" x14ac:dyDescent="0.3">
      <c r="A48" s="7">
        <v>46</v>
      </c>
      <c r="B48" s="8">
        <v>0.35806997899999971</v>
      </c>
      <c r="C48" s="8">
        <v>0.39393887599999289</v>
      </c>
      <c r="D48" s="8">
        <v>0.40175057299998679</v>
      </c>
      <c r="E48" s="8">
        <v>0.45809096799999338</v>
      </c>
      <c r="F48" s="8">
        <v>0.50283703000002333</v>
      </c>
      <c r="G48" s="8">
        <v>0.41004410300001842</v>
      </c>
      <c r="H48" s="8">
        <v>0.66708120800001325</v>
      </c>
      <c r="I48" s="9">
        <v>0.77595930800009683</v>
      </c>
    </row>
    <row r="49" spans="1:9" x14ac:dyDescent="0.3">
      <c r="A49" s="7">
        <v>47</v>
      </c>
      <c r="B49" s="8">
        <v>3.05068699999822E-3</v>
      </c>
      <c r="C49" s="8">
        <v>0.34605183200000061</v>
      </c>
      <c r="D49" s="8">
        <v>0.37056357500000559</v>
      </c>
      <c r="E49" s="8">
        <v>0.42109246599997618</v>
      </c>
      <c r="F49" s="8">
        <v>3.569298000002163E-3</v>
      </c>
      <c r="G49" s="8">
        <v>0.42026320600001549</v>
      </c>
      <c r="H49" s="8">
        <v>0.69842239799999106</v>
      </c>
      <c r="I49" s="9">
        <v>0.8223741860000473</v>
      </c>
    </row>
    <row r="50" spans="1:9" x14ac:dyDescent="0.3">
      <c r="A50" s="7">
        <v>48</v>
      </c>
      <c r="B50" s="8">
        <v>4.6124580000039828E-3</v>
      </c>
      <c r="C50" s="8">
        <v>0.19347554200000161</v>
      </c>
      <c r="D50" s="8">
        <v>3.107177999993382E-3</v>
      </c>
      <c r="E50" s="8">
        <v>4.4383150000157912E-3</v>
      </c>
      <c r="F50" s="8">
        <v>2.984948999994685E-3</v>
      </c>
      <c r="G50" s="8">
        <v>3.284323999992012E-3</v>
      </c>
      <c r="H50" s="8">
        <v>0.87934581399997569</v>
      </c>
      <c r="I50" s="9">
        <v>0.74805805800008329</v>
      </c>
    </row>
    <row r="51" spans="1:9" x14ac:dyDescent="0.3">
      <c r="A51" s="7">
        <v>49</v>
      </c>
      <c r="B51" s="8">
        <v>4.3092240000035531E-3</v>
      </c>
      <c r="C51" s="8">
        <v>5.1655439999933614E-3</v>
      </c>
      <c r="D51" s="8">
        <v>0.19195050700000141</v>
      </c>
      <c r="E51" s="8">
        <v>9.2601579999893602E-3</v>
      </c>
      <c r="F51" s="8">
        <v>4.7908619999930124E-3</v>
      </c>
      <c r="G51" s="8">
        <v>0.44847090000001799</v>
      </c>
      <c r="H51" s="8">
        <v>0.6593860730000074</v>
      </c>
      <c r="I51" s="9">
        <v>1.3248778739999809</v>
      </c>
    </row>
    <row r="52" spans="1:9" x14ac:dyDescent="0.3">
      <c r="A52" s="7">
        <v>50</v>
      </c>
      <c r="B52" s="8">
        <v>2.909332000001541E-3</v>
      </c>
      <c r="C52" s="8">
        <v>0.37419276199999268</v>
      </c>
      <c r="D52" s="8">
        <v>4.9180139999975836E-3</v>
      </c>
      <c r="E52" s="8">
        <v>0.42086854199999379</v>
      </c>
      <c r="F52" s="8">
        <v>0.49101048599999331</v>
      </c>
      <c r="G52" s="8">
        <v>3.2041800000115468E-3</v>
      </c>
      <c r="H52" s="8">
        <v>0.56589631800000006</v>
      </c>
      <c r="I52" s="9">
        <v>0.85865184299996145</v>
      </c>
    </row>
    <row r="53" spans="1:9" x14ac:dyDescent="0.3">
      <c r="A53" s="7">
        <v>51</v>
      </c>
      <c r="B53" s="8">
        <v>3.0178620000000929E-3</v>
      </c>
      <c r="C53" s="8">
        <v>3.886722000004283E-3</v>
      </c>
      <c r="D53" s="8">
        <v>0.40386132800000502</v>
      </c>
      <c r="E53" s="8">
        <v>3.8377559999958071E-3</v>
      </c>
      <c r="F53" s="8">
        <v>4.1351999999506006E-3</v>
      </c>
      <c r="G53" s="8">
        <v>3.2586799999876348E-3</v>
      </c>
      <c r="H53" s="8">
        <v>0.53192942399999765</v>
      </c>
      <c r="I53" s="9">
        <v>0.84489066399999047</v>
      </c>
    </row>
    <row r="54" spans="1:9" x14ac:dyDescent="0.3">
      <c r="A54" s="7">
        <v>52</v>
      </c>
      <c r="B54" s="8">
        <v>2.9502399999969948E-3</v>
      </c>
      <c r="C54" s="8">
        <v>3.3709340000029901E-3</v>
      </c>
      <c r="D54" s="8">
        <v>0.48019497900000369</v>
      </c>
      <c r="E54" s="8">
        <v>0.40541417500000421</v>
      </c>
      <c r="F54" s="8">
        <v>3.1554369999753358E-3</v>
      </c>
      <c r="G54" s="8">
        <v>4.6495749999735381E-3</v>
      </c>
      <c r="H54" s="8">
        <v>0.60351305399996136</v>
      </c>
      <c r="I54" s="9">
        <v>0.99373018999995111</v>
      </c>
    </row>
    <row r="55" spans="1:9" x14ac:dyDescent="0.3">
      <c r="A55" s="7">
        <v>53</v>
      </c>
      <c r="B55" s="8">
        <v>2.9099819999984788E-3</v>
      </c>
      <c r="C55" s="8">
        <v>5.4896030000008977E-3</v>
      </c>
      <c r="D55" s="8">
        <v>4.0093209999838564E-3</v>
      </c>
      <c r="E55" s="8">
        <v>3.0513620000078841E-3</v>
      </c>
      <c r="F55" s="8">
        <v>5.4738669999778722E-3</v>
      </c>
      <c r="G55" s="8">
        <v>0.40500771500001059</v>
      </c>
      <c r="H55" s="8">
        <v>0.58753762399999232</v>
      </c>
      <c r="I55" s="9">
        <v>1.0216148920000021</v>
      </c>
    </row>
    <row r="56" spans="1:9" x14ac:dyDescent="0.3">
      <c r="A56" s="7">
        <v>54</v>
      </c>
      <c r="B56" s="8">
        <v>3.7141970000007518E-3</v>
      </c>
      <c r="C56" s="8">
        <v>3.2040840000036042E-3</v>
      </c>
      <c r="D56" s="8">
        <v>0.3753055469999822</v>
      </c>
      <c r="E56" s="8">
        <v>0.46385800300001279</v>
      </c>
      <c r="F56" s="8">
        <v>0.50783376800001179</v>
      </c>
      <c r="G56" s="8">
        <v>3.5664750000137251E-3</v>
      </c>
      <c r="H56" s="8">
        <v>5.9001779999903192E-3</v>
      </c>
      <c r="I56" s="9">
        <v>4.0392872099999977</v>
      </c>
    </row>
    <row r="57" spans="1:9" x14ac:dyDescent="0.3">
      <c r="A57" s="7">
        <v>55</v>
      </c>
      <c r="B57" s="8">
        <v>2.749435999994887E-3</v>
      </c>
      <c r="C57" s="8">
        <v>3.704952000006756E-3</v>
      </c>
      <c r="D57" s="8">
        <v>3.168651999999383E-3</v>
      </c>
      <c r="E57" s="8">
        <v>3.3428309999976591E-3</v>
      </c>
      <c r="F57" s="8">
        <v>0.51121242900001107</v>
      </c>
      <c r="G57" s="8">
        <v>0.40507478800003582</v>
      </c>
      <c r="H57" s="8">
        <v>0.55938522700000703</v>
      </c>
      <c r="I57" s="9">
        <v>0.7424614430000247</v>
      </c>
    </row>
    <row r="58" spans="1:9" x14ac:dyDescent="0.3">
      <c r="A58" s="7">
        <v>56</v>
      </c>
      <c r="B58" s="8">
        <v>2.986012000000926E-3</v>
      </c>
      <c r="C58" s="8">
        <v>2.8884239999911192E-3</v>
      </c>
      <c r="D58" s="8">
        <v>0.33966807199999488</v>
      </c>
      <c r="E58" s="8">
        <v>3.7301190000107449E-3</v>
      </c>
      <c r="F58" s="8">
        <v>0.44292029700000057</v>
      </c>
      <c r="G58" s="8">
        <v>0.40640698200002129</v>
      </c>
      <c r="H58" s="8">
        <v>0.55658938999999918</v>
      </c>
      <c r="I58" s="9">
        <v>0.76376467400007186</v>
      </c>
    </row>
    <row r="59" spans="1:9" x14ac:dyDescent="0.3">
      <c r="A59" s="7">
        <v>57</v>
      </c>
      <c r="B59" s="8">
        <v>2.982946999999569E-3</v>
      </c>
      <c r="C59" s="8">
        <v>3.0636879999974549E-3</v>
      </c>
      <c r="D59" s="8">
        <v>3.018819999994093E-3</v>
      </c>
      <c r="E59" s="8">
        <v>4.0578240000002097E-3</v>
      </c>
      <c r="F59" s="8">
        <v>4.2470099999718514E-3</v>
      </c>
      <c r="G59" s="8">
        <v>0.44517980900002391</v>
      </c>
      <c r="H59" s="8">
        <v>0.54332942799999273</v>
      </c>
      <c r="I59" s="9">
        <v>1.2366936119999541</v>
      </c>
    </row>
    <row r="60" spans="1:9" x14ac:dyDescent="0.3">
      <c r="A60" s="7">
        <v>58</v>
      </c>
      <c r="B60" s="8">
        <v>3.0407639999978642E-3</v>
      </c>
      <c r="C60" s="8">
        <v>0.39388383600000049</v>
      </c>
      <c r="D60" s="8">
        <v>3.3707569999990028E-3</v>
      </c>
      <c r="E60" s="8">
        <v>3.0324730000188542E-3</v>
      </c>
      <c r="F60" s="8">
        <v>6.4785600000050181E-3</v>
      </c>
      <c r="G60" s="8">
        <v>3.1603770000288019E-3</v>
      </c>
      <c r="H60" s="8">
        <v>0.58698670799998354</v>
      </c>
      <c r="I60" s="9">
        <v>0.78414330700002211</v>
      </c>
    </row>
    <row r="61" spans="1:9" x14ac:dyDescent="0.3">
      <c r="A61" s="7">
        <v>59</v>
      </c>
      <c r="B61" s="8">
        <v>2.9764080000020949E-3</v>
      </c>
      <c r="C61" s="8">
        <v>3.4366999999946302E-3</v>
      </c>
      <c r="D61" s="8">
        <v>3.2287630000098488E-3</v>
      </c>
      <c r="E61" s="8">
        <v>0.44992016200001222</v>
      </c>
      <c r="F61" s="8">
        <v>0.44857978599998211</v>
      </c>
      <c r="G61" s="8">
        <v>2.9389629999627691E-3</v>
      </c>
      <c r="H61" s="8">
        <v>0.56786305500003209</v>
      </c>
      <c r="I61" s="9">
        <v>1.028233193000005</v>
      </c>
    </row>
    <row r="62" spans="1:9" x14ac:dyDescent="0.3">
      <c r="A62" s="7">
        <v>60</v>
      </c>
      <c r="B62" s="8">
        <v>3.760347000003605E-3</v>
      </c>
      <c r="C62" s="8">
        <v>0.31992434299999672</v>
      </c>
      <c r="D62" s="8">
        <v>4.5292119999942324E-3</v>
      </c>
      <c r="E62" s="8">
        <v>4.058369999995648E-3</v>
      </c>
      <c r="F62" s="8">
        <v>3.1125699999847711E-3</v>
      </c>
      <c r="G62" s="8">
        <v>3.7782599999900408E-3</v>
      </c>
      <c r="H62" s="8">
        <v>4.0105300000163879E-3</v>
      </c>
      <c r="I62" s="9">
        <v>0.75041404000000966</v>
      </c>
    </row>
    <row r="63" spans="1:9" x14ac:dyDescent="0.3">
      <c r="A63" s="7">
        <v>61</v>
      </c>
      <c r="B63" s="8">
        <v>0.2343129590000004</v>
      </c>
      <c r="C63" s="8">
        <v>3.172991999988994E-3</v>
      </c>
      <c r="D63" s="8">
        <v>3.1023569999888419E-3</v>
      </c>
      <c r="E63" s="8">
        <v>4.0089869999917482E-3</v>
      </c>
      <c r="F63" s="8">
        <v>0.48677792699999151</v>
      </c>
      <c r="G63" s="8">
        <v>0.4056928030000222</v>
      </c>
      <c r="H63" s="8">
        <v>0.58027741199998673</v>
      </c>
      <c r="I63" s="9">
        <v>4.7000209999623621E-3</v>
      </c>
    </row>
    <row r="64" spans="1:9" x14ac:dyDescent="0.3">
      <c r="A64" s="7">
        <v>62</v>
      </c>
      <c r="B64" s="8">
        <v>2.9576479999988692E-3</v>
      </c>
      <c r="C64" s="8">
        <v>4.4339730000046984E-3</v>
      </c>
      <c r="D64" s="8">
        <v>0.36610203299997579</v>
      </c>
      <c r="E64" s="8">
        <v>3.5888410000097788E-3</v>
      </c>
      <c r="F64" s="8">
        <v>8.7660039999946093E-3</v>
      </c>
      <c r="G64" s="8">
        <v>3.1950329999972378E-3</v>
      </c>
      <c r="H64" s="8">
        <v>0.68544928199997912</v>
      </c>
      <c r="I64" s="9">
        <v>0.71391483799993694</v>
      </c>
    </row>
    <row r="65" spans="1:9" x14ac:dyDescent="0.3">
      <c r="A65" s="7">
        <v>63</v>
      </c>
      <c r="B65" s="8">
        <v>4.3858180000029279E-3</v>
      </c>
      <c r="C65" s="8">
        <v>0.31948727100001412</v>
      </c>
      <c r="D65" s="8">
        <v>0.42056851300000631</v>
      </c>
      <c r="E65" s="8">
        <v>0.4465065419999803</v>
      </c>
      <c r="F65" s="8">
        <v>3.0636590000199249E-3</v>
      </c>
      <c r="G65" s="8">
        <v>4.2143900000155554E-3</v>
      </c>
      <c r="H65" s="8">
        <v>0.64304982100003372</v>
      </c>
      <c r="I65" s="9">
        <v>0.71972989599998982</v>
      </c>
    </row>
    <row r="66" spans="1:9" x14ac:dyDescent="0.3">
      <c r="A66" s="7">
        <v>64</v>
      </c>
      <c r="B66" s="8">
        <v>3.3084760000008369E-3</v>
      </c>
      <c r="C66" s="8">
        <v>3.0311780000005228E-3</v>
      </c>
      <c r="D66" s="8">
        <v>3.0039559999863741E-3</v>
      </c>
      <c r="E66" s="8">
        <v>0.45408804100000572</v>
      </c>
      <c r="F66" s="8">
        <v>0.47060551399999889</v>
      </c>
      <c r="G66" s="8">
        <v>3.0798259999755828E-3</v>
      </c>
      <c r="H66" s="8">
        <v>0.589019755000038</v>
      </c>
      <c r="I66" s="9">
        <v>0.76886169800002335</v>
      </c>
    </row>
    <row r="67" spans="1:9" x14ac:dyDescent="0.3">
      <c r="A67" s="7">
        <v>65</v>
      </c>
      <c r="B67" s="8">
        <v>3.3007810000000859E-3</v>
      </c>
      <c r="C67" s="8">
        <v>2.9817249999979372E-3</v>
      </c>
      <c r="D67" s="8">
        <v>2.804280999981756E-3</v>
      </c>
      <c r="E67" s="8">
        <v>3.0942079999931589E-3</v>
      </c>
      <c r="F67" s="8">
        <v>0.4391910240000243</v>
      </c>
      <c r="G67" s="8">
        <v>0.40318987000000561</v>
      </c>
      <c r="H67" s="8">
        <v>0.57252534299999525</v>
      </c>
      <c r="I67" s="9">
        <v>2.1444254989999081</v>
      </c>
    </row>
    <row r="68" spans="1:9" x14ac:dyDescent="0.3">
      <c r="A68" s="7">
        <v>66</v>
      </c>
      <c r="B68" s="8">
        <v>4.0613920000041048E-3</v>
      </c>
      <c r="C68" s="8">
        <v>0.36519571399999512</v>
      </c>
      <c r="D68" s="8">
        <v>2.8191069999934371E-3</v>
      </c>
      <c r="E68" s="8">
        <v>4.3974799999944034E-3</v>
      </c>
      <c r="F68" s="8">
        <v>0.52178207300005397</v>
      </c>
      <c r="G68" s="8">
        <v>0.4151850970000055</v>
      </c>
      <c r="H68" s="8">
        <v>0.59569643099996483</v>
      </c>
      <c r="I68" s="9">
        <v>1.3719348869999519</v>
      </c>
    </row>
    <row r="69" spans="1:9" x14ac:dyDescent="0.3">
      <c r="A69" s="7">
        <v>67</v>
      </c>
      <c r="B69" s="8">
        <v>3.0815779999997521E-3</v>
      </c>
      <c r="C69" s="8">
        <v>0.3904044820000081</v>
      </c>
      <c r="D69" s="8">
        <v>3.4909860000027488E-3</v>
      </c>
      <c r="E69" s="8">
        <v>0.43171619399998917</v>
      </c>
      <c r="F69" s="8">
        <v>0.4676430839999739</v>
      </c>
      <c r="G69" s="8">
        <v>0.47055217000001898</v>
      </c>
      <c r="H69" s="8">
        <v>4.307489000041187E-3</v>
      </c>
      <c r="I69" s="9">
        <v>1.4159509020000769</v>
      </c>
    </row>
    <row r="70" spans="1:9" x14ac:dyDescent="0.3">
      <c r="A70" s="7">
        <v>68</v>
      </c>
      <c r="B70" s="8">
        <v>2.7255689999989841E-3</v>
      </c>
      <c r="C70" s="8">
        <v>2.9508890000045081E-3</v>
      </c>
      <c r="D70" s="8">
        <v>3.9885369999979048E-3</v>
      </c>
      <c r="E70" s="8">
        <v>0.42762208199999918</v>
      </c>
      <c r="F70" s="8">
        <v>0.45748760800000809</v>
      </c>
      <c r="G70" s="8">
        <v>0.36298636300000447</v>
      </c>
      <c r="H70" s="8">
        <v>5.3343019999942953E-3</v>
      </c>
      <c r="I70" s="9">
        <v>0.75083961600000748</v>
      </c>
    </row>
    <row r="71" spans="1:9" x14ac:dyDescent="0.3">
      <c r="A71" s="7">
        <v>69</v>
      </c>
      <c r="B71" s="8">
        <v>0.3539528169999997</v>
      </c>
      <c r="C71" s="8">
        <v>3.7194479999982382E-3</v>
      </c>
      <c r="D71" s="8">
        <v>3.652449999975715E-3</v>
      </c>
      <c r="E71" s="8">
        <v>3.4877509999944318E-3</v>
      </c>
      <c r="F71" s="8">
        <v>3.1273359999772769E-3</v>
      </c>
      <c r="G71" s="8">
        <v>0.42307613000002681</v>
      </c>
      <c r="H71" s="8">
        <v>0.56581948100000545</v>
      </c>
      <c r="I71" s="9">
        <v>0.7535279010000977</v>
      </c>
    </row>
    <row r="72" spans="1:9" x14ac:dyDescent="0.3">
      <c r="A72" s="7">
        <v>70</v>
      </c>
      <c r="B72" s="8">
        <v>3.1292720000024592E-3</v>
      </c>
      <c r="C72" s="8">
        <v>3.9031929999993049E-3</v>
      </c>
      <c r="D72" s="8">
        <v>2.8557180000063909E-3</v>
      </c>
      <c r="E72" s="8">
        <v>3.7430940000149349E-3</v>
      </c>
      <c r="F72" s="8">
        <v>0.44961792099996961</v>
      </c>
      <c r="G72" s="8">
        <v>0.48855628699999443</v>
      </c>
      <c r="H72" s="8">
        <v>3.5824970000248868E-3</v>
      </c>
      <c r="I72" s="9">
        <v>0.69509189899997637</v>
      </c>
    </row>
    <row r="73" spans="1:9" x14ac:dyDescent="0.3">
      <c r="A73" s="7">
        <v>71</v>
      </c>
      <c r="B73" s="8">
        <v>5.2434010000013132E-3</v>
      </c>
      <c r="C73" s="8">
        <v>0.36825630399999909</v>
      </c>
      <c r="D73" s="8">
        <v>2.8769060000115592E-3</v>
      </c>
      <c r="E73" s="8">
        <v>3.1219690000057199E-3</v>
      </c>
      <c r="F73" s="8">
        <v>3.7895490000323662E-3</v>
      </c>
      <c r="G73" s="8">
        <v>0.48910345799998822</v>
      </c>
      <c r="H73" s="8">
        <v>0.54255139399998598</v>
      </c>
      <c r="I73" s="9">
        <v>1.136597370999993</v>
      </c>
    </row>
    <row r="74" spans="1:9" x14ac:dyDescent="0.3">
      <c r="A74" s="7">
        <v>72</v>
      </c>
      <c r="B74" s="8">
        <v>0.3481213789999984</v>
      </c>
      <c r="C74" s="8">
        <v>3.1461279999973608E-3</v>
      </c>
      <c r="D74" s="8">
        <v>2.9573619999894159E-3</v>
      </c>
      <c r="E74" s="8">
        <v>0.42143325900002537</v>
      </c>
      <c r="F74" s="8">
        <v>3.9919280000049184E-3</v>
      </c>
      <c r="G74" s="8">
        <v>3.30837500001735E-3</v>
      </c>
      <c r="H74" s="8">
        <v>0.60161191800000324</v>
      </c>
      <c r="I74" s="9">
        <v>0.77589075499997762</v>
      </c>
    </row>
    <row r="75" spans="1:9" x14ac:dyDescent="0.3">
      <c r="A75" s="7">
        <v>73</v>
      </c>
      <c r="B75" s="8">
        <v>3.034302999999738E-3</v>
      </c>
      <c r="C75" s="8">
        <v>3.9073160000100424E-3</v>
      </c>
      <c r="D75" s="8">
        <v>2.9471000000000909E-3</v>
      </c>
      <c r="E75" s="8">
        <v>4.5574499999929694E-3</v>
      </c>
      <c r="F75" s="8">
        <v>0.47835317999999921</v>
      </c>
      <c r="G75" s="8">
        <v>0.46097132500000271</v>
      </c>
      <c r="H75" s="8">
        <v>4.1169739999986632E-3</v>
      </c>
      <c r="I75" s="9">
        <v>0.96031708499992874</v>
      </c>
    </row>
    <row r="76" spans="1:9" x14ac:dyDescent="0.3">
      <c r="A76" s="7">
        <v>74</v>
      </c>
      <c r="B76" s="8">
        <v>4.4563729999964607E-3</v>
      </c>
      <c r="C76" s="8">
        <v>3.4342940000016138E-3</v>
      </c>
      <c r="D76" s="8">
        <v>0.39594887299998049</v>
      </c>
      <c r="E76" s="8">
        <v>4.2723420000072574E-3</v>
      </c>
      <c r="F76" s="8">
        <v>0.50188528899997209</v>
      </c>
      <c r="G76" s="8">
        <v>5.0112860000126602E-3</v>
      </c>
      <c r="H76" s="8">
        <v>0.61373007800000323</v>
      </c>
      <c r="I76" s="9">
        <v>0.74763065299998743</v>
      </c>
    </row>
    <row r="77" spans="1:9" x14ac:dyDescent="0.3">
      <c r="A77" s="7">
        <v>75</v>
      </c>
      <c r="B77" s="8">
        <v>4.104291000004423E-3</v>
      </c>
      <c r="C77" s="8">
        <v>4.0122479999951111E-3</v>
      </c>
      <c r="D77" s="8">
        <v>0.44544618200001201</v>
      </c>
      <c r="E77" s="8">
        <v>3.2933999999897878E-3</v>
      </c>
      <c r="F77" s="8">
        <v>0.45229269200001448</v>
      </c>
      <c r="G77" s="8">
        <v>2.9791360000217541E-3</v>
      </c>
      <c r="H77" s="8">
        <v>3.745802000025833E-3</v>
      </c>
      <c r="I77" s="9">
        <v>5.1938230000132526E-3</v>
      </c>
    </row>
    <row r="78" spans="1:9" x14ac:dyDescent="0.3">
      <c r="A78" s="7">
        <v>76</v>
      </c>
      <c r="B78" s="8">
        <v>3.237460999997666E-3</v>
      </c>
      <c r="C78" s="8">
        <v>0.35857053399999472</v>
      </c>
      <c r="D78" s="8">
        <v>3.0687249999914461E-3</v>
      </c>
      <c r="E78" s="8">
        <v>0.48281814099999559</v>
      </c>
      <c r="F78" s="8">
        <v>0.23877576200004569</v>
      </c>
      <c r="G78" s="8">
        <v>7.1914270000092984E-3</v>
      </c>
      <c r="H78" s="8">
        <v>0.57285485099998823</v>
      </c>
      <c r="I78" s="9">
        <v>0.66305808399999933</v>
      </c>
    </row>
    <row r="79" spans="1:9" x14ac:dyDescent="0.3">
      <c r="A79" s="7">
        <v>77</v>
      </c>
      <c r="B79" s="8">
        <v>2.8826590000008419E-3</v>
      </c>
      <c r="C79" s="8">
        <v>3.2835789999978719E-3</v>
      </c>
      <c r="D79" s="8">
        <v>0.41841048800000641</v>
      </c>
      <c r="E79" s="8">
        <v>4.0255050000155279E-3</v>
      </c>
      <c r="F79" s="8">
        <v>3.1910320000179131E-3</v>
      </c>
      <c r="G79" s="8">
        <v>0.48712263599998101</v>
      </c>
      <c r="H79" s="8">
        <v>0.64614787699997578</v>
      </c>
      <c r="I79" s="9">
        <v>0.84929199999999128</v>
      </c>
    </row>
    <row r="80" spans="1:9" x14ac:dyDescent="0.3">
      <c r="A80" s="7">
        <v>78</v>
      </c>
      <c r="B80" s="8">
        <v>2.9083929999984548E-3</v>
      </c>
      <c r="C80" s="8">
        <v>0.38695989700001121</v>
      </c>
      <c r="D80" s="8">
        <v>3.373812999996062E-3</v>
      </c>
      <c r="E80" s="8">
        <v>3.427872000003163E-3</v>
      </c>
      <c r="F80" s="8">
        <v>0.48829084300001568</v>
      </c>
      <c r="G80" s="8">
        <v>3.552630999990924E-3</v>
      </c>
      <c r="H80" s="8">
        <v>0.5879467000000318</v>
      </c>
      <c r="I80" s="9">
        <v>0.84460126999999829</v>
      </c>
    </row>
    <row r="81" spans="1:9" x14ac:dyDescent="0.3">
      <c r="A81" s="7">
        <v>79</v>
      </c>
      <c r="B81" s="8">
        <v>3.181505999997114E-3</v>
      </c>
      <c r="C81" s="8">
        <v>3.2814380000019132E-3</v>
      </c>
      <c r="D81" s="8">
        <v>4.270128000001705E-3</v>
      </c>
      <c r="E81" s="8">
        <v>5.8644920000006104E-3</v>
      </c>
      <c r="F81" s="8">
        <v>0.49914386500000768</v>
      </c>
      <c r="G81" s="8">
        <v>5.1966230000175528E-3</v>
      </c>
      <c r="H81" s="8">
        <v>0.5690460289999919</v>
      </c>
      <c r="I81" s="9">
        <v>0.71340798599999289</v>
      </c>
    </row>
    <row r="82" spans="1:9" x14ac:dyDescent="0.3">
      <c r="A82" s="7">
        <v>80</v>
      </c>
      <c r="B82" s="8">
        <v>2.8142449999961632E-3</v>
      </c>
      <c r="C82" s="8">
        <v>0.32254986800001012</v>
      </c>
      <c r="D82" s="8">
        <v>3.6396529999933591E-3</v>
      </c>
      <c r="E82" s="8">
        <v>3.2755880000081561E-3</v>
      </c>
      <c r="F82" s="8">
        <v>0.45180200200002218</v>
      </c>
      <c r="G82" s="8">
        <v>0.52772085799995239</v>
      </c>
      <c r="H82" s="8">
        <v>0.54624632100001236</v>
      </c>
      <c r="I82" s="9">
        <v>0.81123776200001885</v>
      </c>
    </row>
    <row r="83" spans="1:9" x14ac:dyDescent="0.3">
      <c r="A83" s="7">
        <v>81</v>
      </c>
      <c r="B83" s="8">
        <v>3.285460000000739E-3</v>
      </c>
      <c r="C83" s="8">
        <v>3.328273999997577E-3</v>
      </c>
      <c r="D83" s="8">
        <v>2.9329399999937782E-3</v>
      </c>
      <c r="E83" s="8">
        <v>4.1101509999919017E-3</v>
      </c>
      <c r="F83" s="8">
        <v>3.6380270000222481E-3</v>
      </c>
      <c r="G83" s="8">
        <v>4.8279770000476674E-3</v>
      </c>
      <c r="H83" s="8">
        <v>0.55225947499997119</v>
      </c>
      <c r="I83" s="9">
        <v>0.81289166199996998</v>
      </c>
    </row>
    <row r="84" spans="1:9" x14ac:dyDescent="0.3">
      <c r="A84" s="7">
        <v>82</v>
      </c>
      <c r="B84" s="8">
        <v>3.0857630000014069E-3</v>
      </c>
      <c r="C84" s="8">
        <v>0.35644493799999571</v>
      </c>
      <c r="D84" s="8">
        <v>2.9810130000100798E-3</v>
      </c>
      <c r="E84" s="8">
        <v>0.46855854199998248</v>
      </c>
      <c r="F84" s="8">
        <v>0.47996853800003692</v>
      </c>
      <c r="G84" s="8">
        <v>3.6496889999853011E-3</v>
      </c>
      <c r="H84" s="8">
        <v>0.6935630120000269</v>
      </c>
      <c r="I84" s="9">
        <v>0.86051026000006914</v>
      </c>
    </row>
    <row r="85" spans="1:9" x14ac:dyDescent="0.3">
      <c r="A85" s="7">
        <v>83</v>
      </c>
      <c r="B85" s="8">
        <v>2.9003599999981589E-3</v>
      </c>
      <c r="C85" s="8">
        <v>3.3280020000034942E-3</v>
      </c>
      <c r="D85" s="8">
        <v>0.45379834399997782</v>
      </c>
      <c r="E85" s="8">
        <v>4.7179190000008484E-3</v>
      </c>
      <c r="F85" s="8">
        <v>0.46800648300001058</v>
      </c>
      <c r="G85" s="8">
        <v>0.42852586599997272</v>
      </c>
      <c r="H85" s="8">
        <v>0.59641384200000402</v>
      </c>
      <c r="I85" s="9">
        <v>0.94276353100008237</v>
      </c>
    </row>
    <row r="86" spans="1:9" x14ac:dyDescent="0.3">
      <c r="A86" s="7">
        <v>84</v>
      </c>
      <c r="B86" s="8">
        <v>2.72187600000251E-3</v>
      </c>
      <c r="C86" s="8">
        <v>0.19805534399999661</v>
      </c>
      <c r="D86" s="8">
        <v>0.40875389600000739</v>
      </c>
      <c r="E86" s="8">
        <v>0.41946760500002261</v>
      </c>
      <c r="F86" s="8">
        <v>0.39357376600003141</v>
      </c>
      <c r="G86" s="8">
        <v>3.27624599998444E-3</v>
      </c>
      <c r="H86" s="8">
        <v>0.657116047000045</v>
      </c>
      <c r="I86" s="9">
        <v>1.467980220999948</v>
      </c>
    </row>
    <row r="87" spans="1:9" x14ac:dyDescent="0.3">
      <c r="A87" s="7">
        <v>85</v>
      </c>
      <c r="B87" s="8">
        <v>3.0213530000011701E-3</v>
      </c>
      <c r="C87" s="8">
        <v>3.7355869999942119E-3</v>
      </c>
      <c r="D87" s="8">
        <v>3.2463370000073159E-3</v>
      </c>
      <c r="E87" s="8">
        <v>0.41008723999999569</v>
      </c>
      <c r="F87" s="8">
        <v>0.40042773000004672</v>
      </c>
      <c r="G87" s="8">
        <v>0.41994443800001591</v>
      </c>
      <c r="H87" s="8">
        <v>0.74000053100002106</v>
      </c>
      <c r="I87" s="9">
        <v>2.4433683559999508</v>
      </c>
    </row>
    <row r="88" spans="1:9" x14ac:dyDescent="0.3">
      <c r="A88" s="7">
        <v>86</v>
      </c>
      <c r="B88" s="8">
        <v>3.1887809999986421E-3</v>
      </c>
      <c r="C88" s="8">
        <v>0.41229867799999909</v>
      </c>
      <c r="D88" s="8">
        <v>2.7504609999766672E-3</v>
      </c>
      <c r="E88" s="8">
        <v>5.3962149999904341E-3</v>
      </c>
      <c r="F88" s="8">
        <v>0.48976681800002098</v>
      </c>
      <c r="G88" s="8">
        <v>0.4276599130000136</v>
      </c>
      <c r="H88" s="8">
        <v>0.64220036300002903</v>
      </c>
      <c r="I88" s="9">
        <v>0.94910916900005304</v>
      </c>
    </row>
    <row r="89" spans="1:9" x14ac:dyDescent="0.3">
      <c r="A89" s="7">
        <v>87</v>
      </c>
      <c r="B89" s="8">
        <v>2.9190979999995652E-3</v>
      </c>
      <c r="C89" s="8">
        <v>3.048523999993336E-3</v>
      </c>
      <c r="D89" s="8">
        <v>4.3475379999904362E-3</v>
      </c>
      <c r="E89" s="8">
        <v>0.4351431469999909</v>
      </c>
      <c r="F89" s="8">
        <v>0.49481769499999467</v>
      </c>
      <c r="G89" s="8">
        <v>3.9945749999787949E-3</v>
      </c>
      <c r="H89" s="8">
        <v>3.6893100000270351E-3</v>
      </c>
      <c r="I89" s="9">
        <v>1.079643601000043</v>
      </c>
    </row>
    <row r="90" spans="1:9" x14ac:dyDescent="0.3">
      <c r="A90" s="7">
        <v>88</v>
      </c>
      <c r="B90" s="8">
        <v>3.1724090000011529E-3</v>
      </c>
      <c r="C90" s="8">
        <v>3.9449349999927108E-3</v>
      </c>
      <c r="D90" s="8">
        <v>3.6138940000114421E-3</v>
      </c>
      <c r="E90" s="8">
        <v>4.509858999995231E-3</v>
      </c>
      <c r="F90" s="8">
        <v>3.393651000010323E-3</v>
      </c>
      <c r="G90" s="8">
        <v>0.44694355500001848</v>
      </c>
      <c r="H90" s="8">
        <v>0.57845941899995523</v>
      </c>
      <c r="I90" s="9">
        <v>0.84269176800000878</v>
      </c>
    </row>
    <row r="91" spans="1:9" x14ac:dyDescent="0.3">
      <c r="A91" s="7">
        <v>89</v>
      </c>
      <c r="B91" s="8">
        <v>3.3226090000013642E-3</v>
      </c>
      <c r="C91" s="8">
        <v>3.5725759999962752E-3</v>
      </c>
      <c r="D91" s="8">
        <v>2.8259389999902851E-3</v>
      </c>
      <c r="E91" s="8">
        <v>5.038361000003988E-3</v>
      </c>
      <c r="F91" s="8">
        <v>4.1403660000014497E-3</v>
      </c>
      <c r="G91" s="8">
        <v>4.2844630000331563E-3</v>
      </c>
      <c r="H91" s="8">
        <v>0.51701178700000128</v>
      </c>
      <c r="I91" s="9">
        <v>0.70846482599995397</v>
      </c>
    </row>
    <row r="92" spans="1:9" x14ac:dyDescent="0.3">
      <c r="A92" s="7">
        <v>90</v>
      </c>
      <c r="B92" s="8">
        <v>0.37021780799999959</v>
      </c>
      <c r="C92" s="8">
        <v>3.5532450000061999E-3</v>
      </c>
      <c r="D92" s="8">
        <v>3.6356779999948689E-3</v>
      </c>
      <c r="E92" s="8">
        <v>0.39551658599998518</v>
      </c>
      <c r="F92" s="8">
        <v>2.9997130000083421E-3</v>
      </c>
      <c r="G92" s="8">
        <v>0.39408027099995019</v>
      </c>
      <c r="H92" s="8">
        <v>0.60681669299998475</v>
      </c>
      <c r="I92" s="9">
        <v>0.6606204899999284</v>
      </c>
    </row>
    <row r="93" spans="1:9" x14ac:dyDescent="0.3">
      <c r="A93" s="7">
        <v>91</v>
      </c>
      <c r="B93" s="8">
        <v>0.22390381000000301</v>
      </c>
      <c r="C93" s="8">
        <v>2.98556299999575E-3</v>
      </c>
      <c r="D93" s="8">
        <v>3.27337300001318E-3</v>
      </c>
      <c r="E93" s="8">
        <v>3.6331000000018321E-3</v>
      </c>
      <c r="F93" s="8">
        <v>0.45591088200001201</v>
      </c>
      <c r="G93" s="8">
        <v>3.5109949999991841E-3</v>
      </c>
      <c r="H93" s="8">
        <v>0.5278582130000018</v>
      </c>
      <c r="I93" s="9">
        <v>4.9181949999592689E-3</v>
      </c>
    </row>
    <row r="94" spans="1:9" x14ac:dyDescent="0.3">
      <c r="A94" s="7">
        <v>92</v>
      </c>
      <c r="B94" s="8">
        <v>0.3540013309999992</v>
      </c>
      <c r="C94" s="8">
        <v>0.33088243599999601</v>
      </c>
      <c r="D94" s="8">
        <v>5.4514199999857738E-3</v>
      </c>
      <c r="E94" s="8">
        <v>4.2161140000018804E-3</v>
      </c>
      <c r="F94" s="8">
        <v>5.2729820000081418E-3</v>
      </c>
      <c r="G94" s="8">
        <v>3.8415700000200559E-3</v>
      </c>
      <c r="H94" s="8">
        <v>0.50519781700000976</v>
      </c>
      <c r="I94" s="9">
        <v>0.70846492900000158</v>
      </c>
    </row>
    <row r="95" spans="1:9" x14ac:dyDescent="0.3">
      <c r="A95" s="7">
        <v>93</v>
      </c>
      <c r="B95" s="8">
        <v>0.30896311000000048</v>
      </c>
      <c r="C95" s="8">
        <v>2.979650000000333E-3</v>
      </c>
      <c r="D95" s="8">
        <v>3.7843350000059668E-3</v>
      </c>
      <c r="E95" s="8">
        <v>3.5057069999879791E-3</v>
      </c>
      <c r="F95" s="8">
        <v>3.3286109999721698E-3</v>
      </c>
      <c r="G95" s="8">
        <v>0.45194456599995192</v>
      </c>
      <c r="H95" s="8">
        <v>0.57870328699999618</v>
      </c>
      <c r="I95" s="9">
        <v>0.6900864740000543</v>
      </c>
    </row>
    <row r="96" spans="1:9" x14ac:dyDescent="0.3">
      <c r="A96" s="7">
        <v>94</v>
      </c>
      <c r="B96" s="8">
        <v>0.16708373499999851</v>
      </c>
      <c r="C96" s="8">
        <v>0.17365828500000191</v>
      </c>
      <c r="D96" s="8">
        <v>3.044256999999106E-3</v>
      </c>
      <c r="E96" s="8">
        <v>0.42456935100000243</v>
      </c>
      <c r="F96" s="8">
        <v>0.4422891179999624</v>
      </c>
      <c r="G96" s="8">
        <v>5.462624000017513E-3</v>
      </c>
      <c r="H96" s="8">
        <v>3.8222279999899911E-3</v>
      </c>
      <c r="I96" s="9">
        <v>0.92538755699990816</v>
      </c>
    </row>
    <row r="97" spans="1:9" x14ac:dyDescent="0.3">
      <c r="A97" s="7">
        <v>95</v>
      </c>
      <c r="B97" s="8">
        <v>3.588477000000978E-3</v>
      </c>
      <c r="C97" s="8">
        <v>3.5122310000019752E-3</v>
      </c>
      <c r="D97" s="8">
        <v>3.5941699999852972E-3</v>
      </c>
      <c r="E97" s="8">
        <v>0.42958620299998529</v>
      </c>
      <c r="F97" s="8">
        <v>0.46304854999999628</v>
      </c>
      <c r="G97" s="8">
        <v>0.52782683800000996</v>
      </c>
      <c r="H97" s="8">
        <v>3.8007879999781839E-3</v>
      </c>
      <c r="I97" s="9">
        <v>0.83687855599998784</v>
      </c>
    </row>
    <row r="98" spans="1:9" x14ac:dyDescent="0.3">
      <c r="A98" s="7">
        <v>96</v>
      </c>
      <c r="B98" s="8">
        <v>0.34548222299999759</v>
      </c>
      <c r="C98" s="8">
        <v>4.0629459999905748E-3</v>
      </c>
      <c r="D98" s="8">
        <v>5.8020909999925152E-3</v>
      </c>
      <c r="E98" s="8">
        <v>0.43100735499999132</v>
      </c>
      <c r="F98" s="8">
        <v>4.2214580000177193E-3</v>
      </c>
      <c r="G98" s="8">
        <v>0.4449320389999798</v>
      </c>
      <c r="H98" s="8">
        <v>0.56481318400000191</v>
      </c>
      <c r="I98" s="9">
        <v>0.80176502300002994</v>
      </c>
    </row>
    <row r="99" spans="1:9" x14ac:dyDescent="0.3">
      <c r="A99" s="7">
        <v>97</v>
      </c>
      <c r="B99" s="8">
        <v>0.1748578919999986</v>
      </c>
      <c r="C99" s="8">
        <v>2.8545710000003059E-3</v>
      </c>
      <c r="D99" s="8">
        <v>3.7117480000006249E-3</v>
      </c>
      <c r="E99" s="8">
        <v>3.1086040000047892E-3</v>
      </c>
      <c r="F99" s="8">
        <v>0.45234640600000381</v>
      </c>
      <c r="G99" s="8">
        <v>3.2732120000105169E-3</v>
      </c>
      <c r="H99" s="8">
        <v>0.55610169400000586</v>
      </c>
      <c r="I99" s="9">
        <v>1.1599083930000229</v>
      </c>
    </row>
    <row r="100" spans="1:9" x14ac:dyDescent="0.3">
      <c r="A100" s="7">
        <v>98</v>
      </c>
      <c r="B100" s="8">
        <v>3.5300850000012929E-3</v>
      </c>
      <c r="C100" s="8">
        <v>2.7427509999995441E-3</v>
      </c>
      <c r="D100" s="8">
        <v>3.249127000003682E-3</v>
      </c>
      <c r="E100" s="8">
        <v>0.42424468600000859</v>
      </c>
      <c r="F100" s="8">
        <v>3.1671190000110978E-3</v>
      </c>
      <c r="G100" s="8">
        <v>0.43391307000001689</v>
      </c>
      <c r="H100" s="8">
        <v>0.50644820500002652</v>
      </c>
      <c r="I100" s="9">
        <v>0.88244036300000062</v>
      </c>
    </row>
    <row r="101" spans="1:9" x14ac:dyDescent="0.3">
      <c r="A101" s="7">
        <v>99</v>
      </c>
      <c r="B101" s="8">
        <v>0.35040710900000249</v>
      </c>
      <c r="C101" s="8">
        <v>2.7470969999967561E-3</v>
      </c>
      <c r="D101" s="8">
        <v>0.42395844899999702</v>
      </c>
      <c r="E101" s="8">
        <v>4.0828959999998924E-3</v>
      </c>
      <c r="F101" s="8">
        <v>3.102120999983526E-3</v>
      </c>
      <c r="G101" s="8">
        <v>3.2152730000234442E-3</v>
      </c>
      <c r="H101" s="8">
        <v>3.5186169999974481E-3</v>
      </c>
      <c r="I101" s="9">
        <v>0.87956084699999337</v>
      </c>
    </row>
    <row r="102" spans="1:9" x14ac:dyDescent="0.3">
      <c r="A102" s="7">
        <v>100</v>
      </c>
      <c r="B102" s="8">
        <v>3.3546809999975839E-3</v>
      </c>
      <c r="C102" s="8">
        <v>2.7870070000091118E-3</v>
      </c>
      <c r="D102" s="8">
        <v>4.1796529999942322E-3</v>
      </c>
      <c r="E102" s="8">
        <v>3.227176999985204E-3</v>
      </c>
      <c r="F102" s="8">
        <v>3.6719320000315752E-3</v>
      </c>
      <c r="G102" s="8">
        <v>0.49876904499996039</v>
      </c>
      <c r="H102" s="8">
        <v>3.884674999994786E-3</v>
      </c>
      <c r="I102" s="9">
        <v>2.5415268519999472</v>
      </c>
    </row>
    <row r="103" spans="1:9" x14ac:dyDescent="0.3">
      <c r="A103" s="7">
        <v>101</v>
      </c>
      <c r="B103" s="8">
        <v>3.835663000003819E-3</v>
      </c>
      <c r="C103" s="8">
        <v>5.6546640000050266E-3</v>
      </c>
      <c r="D103" s="8">
        <v>3.1872380000095291E-3</v>
      </c>
      <c r="E103" s="8">
        <v>0.41760751099999988</v>
      </c>
      <c r="F103" s="8">
        <v>3.2782070000507701E-3</v>
      </c>
      <c r="G103" s="8">
        <v>3.2029529999704209E-3</v>
      </c>
      <c r="H103" s="8">
        <v>4.2851329999962218E-3</v>
      </c>
      <c r="I103" s="9">
        <v>0.6935340580000684</v>
      </c>
    </row>
    <row r="104" spans="1:9" x14ac:dyDescent="0.3">
      <c r="A104" s="7">
        <v>102</v>
      </c>
      <c r="B104" s="8">
        <v>3.9017679999986399E-3</v>
      </c>
      <c r="C104" s="8">
        <v>4.3880139999998846E-3</v>
      </c>
      <c r="D104" s="8">
        <v>0.46606393699997278</v>
      </c>
      <c r="E104" s="8">
        <v>3.1033159999935829E-3</v>
      </c>
      <c r="F104" s="8">
        <v>4.4473099999891019E-3</v>
      </c>
      <c r="G104" s="8">
        <v>4.4136220000154944E-3</v>
      </c>
      <c r="H104" s="8">
        <v>0.55827299300000277</v>
      </c>
      <c r="I104" s="9">
        <v>0.71359329699998852</v>
      </c>
    </row>
    <row r="105" spans="1:9" x14ac:dyDescent="0.3">
      <c r="A105" s="7">
        <v>103</v>
      </c>
      <c r="B105" s="8">
        <v>0.33071031600000111</v>
      </c>
      <c r="C105" s="8">
        <v>2.853264999998828E-3</v>
      </c>
      <c r="D105" s="8">
        <v>3.0735930000105331E-3</v>
      </c>
      <c r="E105" s="8">
        <v>0.46429558399998427</v>
      </c>
      <c r="F105" s="8">
        <v>3.3696950000035031E-3</v>
      </c>
      <c r="G105" s="8">
        <v>0.51244977499999322</v>
      </c>
      <c r="H105" s="8">
        <v>0.49568723800001641</v>
      </c>
      <c r="I105" s="9">
        <v>0.67838658900006976</v>
      </c>
    </row>
    <row r="106" spans="1:9" x14ac:dyDescent="0.3">
      <c r="A106" s="7">
        <v>104</v>
      </c>
      <c r="B106" s="8">
        <v>3.1746310000002609E-3</v>
      </c>
      <c r="C106" s="8">
        <v>2.9509000000018659E-3</v>
      </c>
      <c r="D106" s="8">
        <v>4.3457239999895592E-3</v>
      </c>
      <c r="E106" s="8">
        <v>5.2884420000225418E-3</v>
      </c>
      <c r="F106" s="8">
        <v>5.0872649999860187E-3</v>
      </c>
      <c r="G106" s="8">
        <v>0.57394004999997605</v>
      </c>
      <c r="H106" s="8">
        <v>0.59384601199997178</v>
      </c>
      <c r="I106" s="9">
        <v>1.4285043229999701</v>
      </c>
    </row>
    <row r="107" spans="1:9" x14ac:dyDescent="0.3">
      <c r="A107" s="7">
        <v>105</v>
      </c>
      <c r="B107" s="8">
        <v>3.6129910000042291E-3</v>
      </c>
      <c r="C107" s="8">
        <v>0.3783964200000014</v>
      </c>
      <c r="D107" s="8">
        <v>5.7507759999850796E-3</v>
      </c>
      <c r="E107" s="8">
        <v>0.42653927099999578</v>
      </c>
      <c r="F107" s="8">
        <v>0.50106220499998244</v>
      </c>
      <c r="G107" s="8">
        <v>3.6504020000052151E-3</v>
      </c>
      <c r="H107" s="8">
        <v>0.53902202000000443</v>
      </c>
      <c r="I107" s="9">
        <v>0.85115453200000957</v>
      </c>
    </row>
    <row r="108" spans="1:9" x14ac:dyDescent="0.3">
      <c r="A108" s="7">
        <v>106</v>
      </c>
      <c r="B108" s="8">
        <v>4.0287899999995602E-3</v>
      </c>
      <c r="C108" s="8">
        <v>2.9917499999925208E-3</v>
      </c>
      <c r="D108" s="8">
        <v>0.35733583899997262</v>
      </c>
      <c r="E108" s="8">
        <v>3.6312450000082208E-3</v>
      </c>
      <c r="F108" s="8">
        <v>1.0822022000013479E-2</v>
      </c>
      <c r="G108" s="8">
        <v>3.2927270000300268E-3</v>
      </c>
      <c r="H108" s="8">
        <v>0.55929498599999761</v>
      </c>
      <c r="I108" s="9">
        <v>1.0064345970000661</v>
      </c>
    </row>
    <row r="109" spans="1:9" x14ac:dyDescent="0.3">
      <c r="A109" s="7">
        <v>107</v>
      </c>
      <c r="B109" s="8">
        <v>3.5612289999988889E-3</v>
      </c>
      <c r="C109" s="8">
        <v>3.7141300000058659E-3</v>
      </c>
      <c r="D109" s="8">
        <v>0.40388101900001061</v>
      </c>
      <c r="E109" s="8">
        <v>2.9291490000105109E-3</v>
      </c>
      <c r="F109" s="8">
        <v>1.126082099995074E-2</v>
      </c>
      <c r="G109" s="8">
        <v>6.7705840000371609E-3</v>
      </c>
      <c r="H109" s="8">
        <v>3.5841989999880748E-3</v>
      </c>
      <c r="I109" s="9">
        <v>0.77783027800001037</v>
      </c>
    </row>
    <row r="110" spans="1:9" x14ac:dyDescent="0.3">
      <c r="A110" s="7">
        <v>108</v>
      </c>
      <c r="B110" s="8">
        <v>4.2357929999994326E-3</v>
      </c>
      <c r="C110" s="8">
        <v>3.8458590000089998E-3</v>
      </c>
      <c r="D110" s="8">
        <v>4.4930170000156977E-3</v>
      </c>
      <c r="E110" s="8">
        <v>5.1628570000161744E-3</v>
      </c>
      <c r="F110" s="8">
        <v>4.5089380000149504E-3</v>
      </c>
      <c r="G110" s="8">
        <v>0.46921963199997663</v>
      </c>
      <c r="H110" s="8">
        <v>5.7321190000152464E-3</v>
      </c>
      <c r="I110" s="9">
        <v>0.87677047399995445</v>
      </c>
    </row>
    <row r="111" spans="1:9" x14ac:dyDescent="0.3">
      <c r="A111" s="7">
        <v>109</v>
      </c>
      <c r="B111" s="8">
        <v>0.34495560399999903</v>
      </c>
      <c r="C111" s="8">
        <v>3.6633350000130349E-3</v>
      </c>
      <c r="D111" s="8">
        <v>2.8531140000040982E-3</v>
      </c>
      <c r="E111" s="8">
        <v>3.9675300000112657E-3</v>
      </c>
      <c r="F111" s="8">
        <v>4.3748080000227674E-3</v>
      </c>
      <c r="G111" s="8">
        <v>0.50297173699999576</v>
      </c>
      <c r="H111" s="8">
        <v>0.53856941899999811</v>
      </c>
      <c r="I111" s="9">
        <v>0.77866420100008327</v>
      </c>
    </row>
    <row r="112" spans="1:9" x14ac:dyDescent="0.3">
      <c r="A112" s="7">
        <v>110</v>
      </c>
      <c r="B112" s="8">
        <v>0.34795774999999912</v>
      </c>
      <c r="C112" s="8">
        <v>2.7997770000069981E-3</v>
      </c>
      <c r="D112" s="8">
        <v>4.4752389999871411E-3</v>
      </c>
      <c r="E112" s="8">
        <v>3.7828310000236338E-3</v>
      </c>
      <c r="F112" s="8">
        <v>5.3011159999982738E-3</v>
      </c>
      <c r="G112" s="8">
        <v>0.53098779800001239</v>
      </c>
      <c r="H112" s="8">
        <v>0.54693094399999609</v>
      </c>
      <c r="I112" s="9">
        <v>0.88255762900007539</v>
      </c>
    </row>
    <row r="113" spans="1:9" x14ac:dyDescent="0.3">
      <c r="A113" s="7">
        <v>111</v>
      </c>
      <c r="B113" s="8">
        <v>3.071744999999737E-3</v>
      </c>
      <c r="C113" s="8">
        <v>3.134006000010459E-3</v>
      </c>
      <c r="D113" s="8">
        <v>0.40424723099999937</v>
      </c>
      <c r="E113" s="8">
        <v>0.22621313499999471</v>
      </c>
      <c r="F113" s="8">
        <v>0.80543723400000999</v>
      </c>
      <c r="G113" s="8">
        <v>3.6515619999590849E-3</v>
      </c>
      <c r="H113" s="8">
        <v>3.552737999996225E-3</v>
      </c>
      <c r="I113" s="9">
        <v>1.1152376280000449</v>
      </c>
    </row>
    <row r="114" spans="1:9" x14ac:dyDescent="0.3">
      <c r="A114" s="7">
        <v>112</v>
      </c>
      <c r="B114" s="8">
        <v>3.7896700000032979E-3</v>
      </c>
      <c r="C114" s="8">
        <v>3.1573280000003479E-3</v>
      </c>
      <c r="D114" s="8">
        <v>0.43913747600001329</v>
      </c>
      <c r="E114" s="8">
        <v>3.9487819999806106E-3</v>
      </c>
      <c r="F114" s="8">
        <v>0.94284881100003304</v>
      </c>
      <c r="G114" s="8">
        <v>0.46661133499998192</v>
      </c>
      <c r="H114" s="8">
        <v>0.50966383299999052</v>
      </c>
      <c r="I114" s="9">
        <v>0.79005968700005269</v>
      </c>
    </row>
    <row r="115" spans="1:9" x14ac:dyDescent="0.3">
      <c r="A115" s="7">
        <v>113</v>
      </c>
      <c r="B115" s="8">
        <v>3.9841620000018452E-3</v>
      </c>
      <c r="C115" s="8">
        <v>0.38369349600000652</v>
      </c>
      <c r="D115" s="8">
        <v>3.0621739999787678E-3</v>
      </c>
      <c r="E115" s="8">
        <v>4.0838930000006712E-3</v>
      </c>
      <c r="F115" s="8">
        <v>1.0414276859999629</v>
      </c>
      <c r="G115" s="8">
        <v>4.0401580000093418E-3</v>
      </c>
      <c r="H115" s="8">
        <v>0.55130250399997749</v>
      </c>
      <c r="I115" s="9">
        <v>4.7969625479998967</v>
      </c>
    </row>
    <row r="116" spans="1:9" x14ac:dyDescent="0.3">
      <c r="A116" s="7">
        <v>114</v>
      </c>
      <c r="B116" s="8">
        <v>3.43499800000302E-3</v>
      </c>
      <c r="C116" s="8">
        <v>3.0283130000015031E-3</v>
      </c>
      <c r="D116" s="8">
        <v>2.8314340000008542E-3</v>
      </c>
      <c r="E116" s="8">
        <v>3.9317760000017188E-3</v>
      </c>
      <c r="F116" s="8">
        <v>0.71561273599996866</v>
      </c>
      <c r="G116" s="8">
        <v>0.48092368999999741</v>
      </c>
      <c r="H116" s="8">
        <v>0.55197550600001932</v>
      </c>
      <c r="I116" s="9">
        <v>3.3626385999923507E-2</v>
      </c>
    </row>
    <row r="117" spans="1:9" x14ac:dyDescent="0.3">
      <c r="A117" s="7">
        <v>115</v>
      </c>
      <c r="B117" s="8">
        <v>3.1338910000044962E-3</v>
      </c>
      <c r="C117" s="8">
        <v>0.35364322200000231</v>
      </c>
      <c r="D117" s="8">
        <v>3.2736679999914031E-3</v>
      </c>
      <c r="E117" s="8">
        <v>3.6033110000062152E-3</v>
      </c>
      <c r="F117" s="8">
        <v>5.4425120000018978E-2</v>
      </c>
      <c r="G117" s="8">
        <v>0.61293906500003459</v>
      </c>
      <c r="H117" s="8">
        <v>0.58518632999999909</v>
      </c>
      <c r="I117" s="9">
        <v>0.75572465500010821</v>
      </c>
    </row>
    <row r="118" spans="1:9" x14ac:dyDescent="0.3">
      <c r="A118" s="7">
        <v>116</v>
      </c>
      <c r="B118" s="8">
        <v>2.8388269999979339E-3</v>
      </c>
      <c r="C118" s="8">
        <v>3.242982000003281E-3</v>
      </c>
      <c r="D118" s="8">
        <v>4.9069310000220412E-3</v>
      </c>
      <c r="E118" s="8">
        <v>4.3715070000018841E-3</v>
      </c>
      <c r="F118" s="8">
        <v>0.56145841399995788</v>
      </c>
      <c r="G118" s="8">
        <v>0.59238601099997368</v>
      </c>
      <c r="H118" s="8">
        <v>0.65625540600001386</v>
      </c>
      <c r="I118" s="9">
        <v>0.65428418700003022</v>
      </c>
    </row>
    <row r="119" spans="1:9" x14ac:dyDescent="0.3">
      <c r="A119" s="7">
        <v>117</v>
      </c>
      <c r="B119" s="8">
        <v>3.3293389999968781E-3</v>
      </c>
      <c r="C119" s="8">
        <v>2.9773849999941149E-3</v>
      </c>
      <c r="D119" s="8">
        <v>0.39907378100002688</v>
      </c>
      <c r="E119" s="8">
        <v>3.0633460000046848E-3</v>
      </c>
      <c r="F119" s="8">
        <v>0.40264206000000508</v>
      </c>
      <c r="G119" s="8">
        <v>0.45998892800002977</v>
      </c>
      <c r="H119" s="8">
        <v>0.56037446200002705</v>
      </c>
      <c r="I119" s="9">
        <v>0.70708055800002967</v>
      </c>
    </row>
    <row r="120" spans="1:9" x14ac:dyDescent="0.3">
      <c r="A120" s="7">
        <v>118</v>
      </c>
      <c r="B120" s="8">
        <v>3.590879000000768E-3</v>
      </c>
      <c r="C120" s="8">
        <v>4.3534069999964231E-3</v>
      </c>
      <c r="D120" s="8">
        <v>3.046857000015279E-3</v>
      </c>
      <c r="E120" s="8">
        <v>4.5952339999928427E-3</v>
      </c>
      <c r="F120" s="8">
        <v>0.39826190500002667</v>
      </c>
      <c r="G120" s="8">
        <v>0.47470410200003238</v>
      </c>
      <c r="H120" s="8">
        <v>0.62183813600000803</v>
      </c>
      <c r="I120" s="9">
        <v>1.2349572480000011</v>
      </c>
    </row>
    <row r="121" spans="1:9" x14ac:dyDescent="0.3">
      <c r="A121" s="7">
        <v>119</v>
      </c>
      <c r="B121" s="8">
        <v>0.30853292499999441</v>
      </c>
      <c r="C121" s="8">
        <v>3.9710679999984677E-3</v>
      </c>
      <c r="D121" s="8">
        <v>3.2101480000221731E-3</v>
      </c>
      <c r="E121" s="8">
        <v>0.39901275399998332</v>
      </c>
      <c r="F121" s="8">
        <v>3.524812000023303E-3</v>
      </c>
      <c r="G121" s="8">
        <v>3.2069229999933668E-3</v>
      </c>
      <c r="H121" s="8">
        <v>5.1477949999707562E-3</v>
      </c>
      <c r="I121" s="9">
        <v>1.517712579999966</v>
      </c>
    </row>
    <row r="122" spans="1:9" x14ac:dyDescent="0.3">
      <c r="A122" s="7">
        <v>120</v>
      </c>
      <c r="B122" s="8">
        <v>2.9855900000015372E-3</v>
      </c>
      <c r="C122" s="8">
        <v>3.588425000003781E-3</v>
      </c>
      <c r="D122" s="8">
        <v>2.8342039999813551E-3</v>
      </c>
      <c r="E122" s="8">
        <v>0.4608145790000151</v>
      </c>
      <c r="F122" s="8">
        <v>0.38743586099997168</v>
      </c>
      <c r="G122" s="8">
        <v>4.5603850000475177E-3</v>
      </c>
      <c r="H122" s="8">
        <v>3.9765229999488838E-3</v>
      </c>
      <c r="I122" s="9">
        <v>0.93404300200006674</v>
      </c>
    </row>
    <row r="123" spans="1:9" x14ac:dyDescent="0.3">
      <c r="A123" s="7">
        <v>121</v>
      </c>
      <c r="B123" s="8">
        <v>3.8337380000044159E-3</v>
      </c>
      <c r="C123" s="8">
        <v>2.8008219999975381E-3</v>
      </c>
      <c r="D123" s="8">
        <v>0.42504835099998672</v>
      </c>
      <c r="E123" s="8">
        <v>0.40892183799999771</v>
      </c>
      <c r="F123" s="8">
        <v>3.1572219999702611E-3</v>
      </c>
      <c r="G123" s="8">
        <v>0.47236787400004232</v>
      </c>
      <c r="H123" s="8">
        <v>0.60440931099998352</v>
      </c>
      <c r="I123" s="9">
        <v>0.85816687900000943</v>
      </c>
    </row>
    <row r="124" spans="1:9" x14ac:dyDescent="0.3">
      <c r="A124" s="7">
        <v>122</v>
      </c>
      <c r="B124" s="8">
        <v>4.3564130000035561E-3</v>
      </c>
      <c r="C124" s="8">
        <v>0.37665785199999391</v>
      </c>
      <c r="D124" s="8">
        <v>0.41443833299999261</v>
      </c>
      <c r="E124" s="8">
        <v>5.2982279999866932E-3</v>
      </c>
      <c r="F124" s="8">
        <v>0.43136936900003781</v>
      </c>
      <c r="G124" s="8">
        <v>0.42193356600000698</v>
      </c>
      <c r="H124" s="8">
        <v>0.63547790299998042</v>
      </c>
      <c r="I124" s="9">
        <v>0.81785696300005384</v>
      </c>
    </row>
    <row r="125" spans="1:9" x14ac:dyDescent="0.3">
      <c r="A125" s="7">
        <v>123</v>
      </c>
      <c r="B125" s="8">
        <v>2.8327009999955521E-3</v>
      </c>
      <c r="C125" s="8">
        <v>0.37063056499999902</v>
      </c>
      <c r="D125" s="8">
        <v>3.6862119999909741E-3</v>
      </c>
      <c r="E125" s="8">
        <v>0.43364829899999791</v>
      </c>
      <c r="F125" s="8">
        <v>3.1048450000525918E-3</v>
      </c>
      <c r="G125" s="8">
        <v>4.0819820000024274E-3</v>
      </c>
      <c r="H125" s="8">
        <v>3.6465389999875701E-3</v>
      </c>
      <c r="I125" s="9">
        <v>1.074332910000066</v>
      </c>
    </row>
    <row r="126" spans="1:9" x14ac:dyDescent="0.3">
      <c r="A126" s="7">
        <v>124</v>
      </c>
      <c r="B126" s="8">
        <v>3.3045010000023471E-3</v>
      </c>
      <c r="C126" s="8">
        <v>3.109159999993949E-3</v>
      </c>
      <c r="D126" s="8">
        <v>0.39708994899999078</v>
      </c>
      <c r="E126" s="8">
        <v>0.44321204199999897</v>
      </c>
      <c r="F126" s="8">
        <v>0.39394031299997317</v>
      </c>
      <c r="G126" s="8">
        <v>3.7885270000401761E-3</v>
      </c>
      <c r="H126" s="8">
        <v>0.5581506859999763</v>
      </c>
      <c r="I126" s="9">
        <v>0.78748817000007421</v>
      </c>
    </row>
    <row r="127" spans="1:9" x14ac:dyDescent="0.3">
      <c r="A127" s="7">
        <v>125</v>
      </c>
      <c r="B127" s="8">
        <v>0.35888770999999758</v>
      </c>
      <c r="C127" s="8">
        <v>0.39385749000000198</v>
      </c>
      <c r="D127" s="8">
        <v>3.7082049999810351E-3</v>
      </c>
      <c r="E127" s="8">
        <v>4.7559889999888583E-3</v>
      </c>
      <c r="F127" s="8">
        <v>0.38487283899996783</v>
      </c>
      <c r="G127" s="8">
        <v>9.1980320000288884E-3</v>
      </c>
      <c r="H127" s="8">
        <v>0.55309917899995753</v>
      </c>
      <c r="I127" s="9">
        <v>0.92649790000007215</v>
      </c>
    </row>
    <row r="128" spans="1:9" x14ac:dyDescent="0.3">
      <c r="A128" s="7">
        <v>126</v>
      </c>
      <c r="B128" s="8">
        <v>3.164825999995458E-3</v>
      </c>
      <c r="C128" s="8">
        <v>0.35920079400000299</v>
      </c>
      <c r="D128" s="8">
        <v>3.316871000009769E-3</v>
      </c>
      <c r="E128" s="8">
        <v>3.5113149999972388E-3</v>
      </c>
      <c r="F128" s="8">
        <v>0.39505462300002142</v>
      </c>
      <c r="G128" s="8">
        <v>0.49983779799998729</v>
      </c>
      <c r="H128" s="8">
        <v>0.51798450799998363</v>
      </c>
      <c r="I128" s="9">
        <v>1.1066239279999761</v>
      </c>
    </row>
    <row r="129" spans="1:9" x14ac:dyDescent="0.3">
      <c r="A129" s="7">
        <v>127</v>
      </c>
      <c r="B129" s="8">
        <v>3.7034379999951739E-3</v>
      </c>
      <c r="C129" s="8">
        <v>3.0522710000013831E-3</v>
      </c>
      <c r="D129" s="8">
        <v>3.0275419999838959E-3</v>
      </c>
      <c r="E129" s="8">
        <v>0.47791663299997822</v>
      </c>
      <c r="F129" s="8">
        <v>3.136084999994182E-3</v>
      </c>
      <c r="G129" s="8">
        <v>0.54569996199995785</v>
      </c>
      <c r="H129" s="8">
        <v>3.5098820000030169E-3</v>
      </c>
      <c r="I129" s="9">
        <v>0.80056556700003512</v>
      </c>
    </row>
    <row r="130" spans="1:9" x14ac:dyDescent="0.3">
      <c r="A130" s="7">
        <v>128</v>
      </c>
      <c r="B130" s="8">
        <v>0.39022990899999849</v>
      </c>
      <c r="C130" s="8">
        <v>3.2498620000041001E-3</v>
      </c>
      <c r="D130" s="8">
        <v>0.2283486009999933</v>
      </c>
      <c r="E130" s="8">
        <v>2.9719919999990911E-3</v>
      </c>
      <c r="F130" s="8">
        <v>0.43022864099998509</v>
      </c>
      <c r="G130" s="8">
        <v>0.51898182499996892</v>
      </c>
      <c r="H130" s="8">
        <v>4.570782000030249E-3</v>
      </c>
      <c r="I130" s="9">
        <v>0.76220102399997813</v>
      </c>
    </row>
    <row r="131" spans="1:9" x14ac:dyDescent="0.3">
      <c r="A131" s="7">
        <v>129</v>
      </c>
      <c r="B131" s="8">
        <v>0.427991016</v>
      </c>
      <c r="C131" s="8">
        <v>0.36191447400000237</v>
      </c>
      <c r="D131" s="8">
        <v>2.9064590000018602E-3</v>
      </c>
      <c r="E131" s="8">
        <v>0.43740336499999438</v>
      </c>
      <c r="F131" s="8">
        <v>3.2167520000143668E-3</v>
      </c>
      <c r="G131" s="8">
        <v>0.66064167100000759</v>
      </c>
      <c r="H131" s="8">
        <v>0.54994706299999052</v>
      </c>
      <c r="I131" s="9">
        <v>0.71962225300001137</v>
      </c>
    </row>
    <row r="132" spans="1:9" x14ac:dyDescent="0.3">
      <c r="A132" s="7">
        <v>130</v>
      </c>
      <c r="B132" s="8">
        <v>0.37148300199999801</v>
      </c>
      <c r="C132" s="8">
        <v>0.19480283700001169</v>
      </c>
      <c r="D132" s="8">
        <v>0.39707932199999618</v>
      </c>
      <c r="E132" s="8">
        <v>3.154066999996985E-3</v>
      </c>
      <c r="F132" s="8">
        <v>0.38989469199998439</v>
      </c>
      <c r="G132" s="8">
        <v>0.49366307899998668</v>
      </c>
      <c r="H132" s="8">
        <v>0.66627254899998434</v>
      </c>
      <c r="I132" s="9">
        <v>2.723642818999906</v>
      </c>
    </row>
    <row r="133" spans="1:9" x14ac:dyDescent="0.3">
      <c r="A133" s="7">
        <v>131</v>
      </c>
      <c r="B133" s="8">
        <v>3.0284659999963992E-3</v>
      </c>
      <c r="C133" s="8">
        <v>0.40132727499999987</v>
      </c>
      <c r="D133" s="8">
        <v>3.581102999987706E-3</v>
      </c>
      <c r="E133" s="8">
        <v>2.903843000012785E-3</v>
      </c>
      <c r="F133" s="8">
        <v>3.1243889999927892E-3</v>
      </c>
      <c r="G133" s="8">
        <v>6.2597940000159724E-3</v>
      </c>
      <c r="H133" s="8">
        <v>0.61299012500001027</v>
      </c>
      <c r="I133" s="9">
        <v>0.6847514549999687</v>
      </c>
    </row>
    <row r="134" spans="1:9" x14ac:dyDescent="0.3">
      <c r="A134" s="7">
        <v>132</v>
      </c>
      <c r="B134" s="8">
        <v>5.2396860000030188E-3</v>
      </c>
      <c r="C134" s="8">
        <v>3.0366980000025019E-3</v>
      </c>
      <c r="D134" s="8">
        <v>0.40778663399998999</v>
      </c>
      <c r="E134" s="8">
        <v>3.6393900000177841E-3</v>
      </c>
      <c r="F134" s="8">
        <v>0.40111508299997922</v>
      </c>
      <c r="G134" s="8">
        <v>0.50057771899997761</v>
      </c>
      <c r="H134" s="8">
        <v>0.58058974999994462</v>
      </c>
      <c r="I134" s="9">
        <v>0.79923200799998995</v>
      </c>
    </row>
    <row r="135" spans="1:9" x14ac:dyDescent="0.3">
      <c r="A135" s="7">
        <v>133</v>
      </c>
      <c r="B135" s="8">
        <v>0.38407623200000529</v>
      </c>
      <c r="C135" s="8">
        <v>3.5183260000053451E-3</v>
      </c>
      <c r="D135" s="8">
        <v>3.401026999995338E-3</v>
      </c>
      <c r="E135" s="8">
        <v>0.39087524600000728</v>
      </c>
      <c r="F135" s="8">
        <v>3.1383790000063532E-3</v>
      </c>
      <c r="G135" s="8">
        <v>0.48037836099996412</v>
      </c>
      <c r="H135" s="8">
        <v>0.64777216200002385</v>
      </c>
      <c r="I135" s="9">
        <v>0.7654404729998987</v>
      </c>
    </row>
    <row r="136" spans="1:9" x14ac:dyDescent="0.3">
      <c r="A136" s="7">
        <v>134</v>
      </c>
      <c r="B136" s="8">
        <v>3.7520950000029529E-3</v>
      </c>
      <c r="C136" s="8">
        <v>3.7490569999931722E-3</v>
      </c>
      <c r="D136" s="8">
        <v>2.9357159999960909E-3</v>
      </c>
      <c r="E136" s="8">
        <v>3.3145779999870228E-3</v>
      </c>
      <c r="F136" s="8">
        <v>4.1678869999941526E-3</v>
      </c>
      <c r="G136" s="8">
        <v>0.47042705499995918</v>
      </c>
      <c r="H136" s="8">
        <v>0.6555394210000145</v>
      </c>
      <c r="I136" s="9">
        <v>0.79026551200001904</v>
      </c>
    </row>
    <row r="137" spans="1:9" x14ac:dyDescent="0.3">
      <c r="A137" s="7">
        <v>135</v>
      </c>
      <c r="B137" s="8">
        <v>3.2014479999986629E-3</v>
      </c>
      <c r="C137" s="8">
        <v>3.9062769999986813E-3</v>
      </c>
      <c r="D137" s="8">
        <v>0.42247295300001042</v>
      </c>
      <c r="E137" s="8">
        <v>4.6120060000021113E-3</v>
      </c>
      <c r="F137" s="8">
        <v>0.43676828699994991</v>
      </c>
      <c r="G137" s="8">
        <v>0.44596007799998461</v>
      </c>
      <c r="H137" s="8">
        <v>0.57759484100000691</v>
      </c>
      <c r="I137" s="9">
        <v>0.70924209500003599</v>
      </c>
    </row>
    <row r="138" spans="1:9" x14ac:dyDescent="0.3">
      <c r="A138" s="7">
        <v>136</v>
      </c>
      <c r="B138" s="8">
        <v>0.3210384259999941</v>
      </c>
      <c r="C138" s="8">
        <v>0.35136573500000168</v>
      </c>
      <c r="D138" s="8">
        <v>0.41505014200001261</v>
      </c>
      <c r="E138" s="8">
        <v>0.51242088499998317</v>
      </c>
      <c r="F138" s="8">
        <v>3.314666999983729E-3</v>
      </c>
      <c r="G138" s="8">
        <v>3.4293960000013608E-3</v>
      </c>
      <c r="H138" s="8">
        <v>0.56949459700001626</v>
      </c>
      <c r="I138" s="9">
        <v>3.78533478899999</v>
      </c>
    </row>
    <row r="139" spans="1:9" x14ac:dyDescent="0.3">
      <c r="A139" s="7">
        <v>137</v>
      </c>
      <c r="B139" s="8">
        <v>2.9516490000034419E-3</v>
      </c>
      <c r="C139" s="8">
        <v>3.020590999994965E-3</v>
      </c>
      <c r="D139" s="8">
        <v>3.676439999992454E-3</v>
      </c>
      <c r="E139" s="8">
        <v>0.39928884799999759</v>
      </c>
      <c r="F139" s="8">
        <v>0.38669995800000828</v>
      </c>
      <c r="G139" s="8">
        <v>0.59686060899997528</v>
      </c>
      <c r="H139" s="8">
        <v>0.65422688000001017</v>
      </c>
      <c r="I139" s="9">
        <v>3.3218642999941039E-2</v>
      </c>
    </row>
    <row r="140" spans="1:9" x14ac:dyDescent="0.3">
      <c r="A140" s="7">
        <v>138</v>
      </c>
      <c r="B140" s="8">
        <v>4.0574000000006549E-3</v>
      </c>
      <c r="C140" s="8">
        <v>3.2857620000044112E-3</v>
      </c>
      <c r="D140" s="8">
        <v>5.6104240000252048E-3</v>
      </c>
      <c r="E140" s="8">
        <v>0.40538137799998708</v>
      </c>
      <c r="F140" s="8">
        <v>0.40761504099998552</v>
      </c>
      <c r="G140" s="8">
        <v>0.45512064100000771</v>
      </c>
      <c r="H140" s="8">
        <v>0.59582845699998188</v>
      </c>
      <c r="I140" s="9">
        <v>0.66400391900003797</v>
      </c>
    </row>
    <row r="141" spans="1:9" x14ac:dyDescent="0.3">
      <c r="A141" s="7">
        <v>139</v>
      </c>
      <c r="B141" s="8">
        <v>0.3809312969999965</v>
      </c>
      <c r="C141" s="8">
        <v>0.19285250000000079</v>
      </c>
      <c r="D141" s="8">
        <v>4.7709239999846886E-3</v>
      </c>
      <c r="E141" s="8">
        <v>3.5137750000160391E-3</v>
      </c>
      <c r="F141" s="8">
        <v>3.9329369999450137E-3</v>
      </c>
      <c r="G141" s="8">
        <v>0.53491357000001472</v>
      </c>
      <c r="H141" s="8">
        <v>0.63326765099998283</v>
      </c>
      <c r="I141" s="9">
        <v>4.7061700000767806E-3</v>
      </c>
    </row>
    <row r="142" spans="1:9" x14ac:dyDescent="0.3">
      <c r="A142" s="7">
        <v>140</v>
      </c>
      <c r="B142" s="8">
        <v>4.010143999998661E-3</v>
      </c>
      <c r="C142" s="8">
        <v>4.1445849999917073E-3</v>
      </c>
      <c r="D142" s="8">
        <v>4.4384889999946608E-3</v>
      </c>
      <c r="E142" s="8">
        <v>4.497670999995762E-3</v>
      </c>
      <c r="F142" s="8">
        <v>3.4229030000005882E-3</v>
      </c>
      <c r="G142" s="8">
        <v>0.43273670299998912</v>
      </c>
      <c r="H142" s="8">
        <v>0.62546330300000363</v>
      </c>
      <c r="I142" s="9">
        <v>0.65279719199997999</v>
      </c>
    </row>
    <row r="143" spans="1:9" x14ac:dyDescent="0.3">
      <c r="A143" s="7">
        <v>141</v>
      </c>
      <c r="B143" s="8">
        <v>6.4729480000025319E-3</v>
      </c>
      <c r="C143" s="8">
        <v>4.2021349999998847E-3</v>
      </c>
      <c r="D143" s="8">
        <v>3.2353099999795631E-3</v>
      </c>
      <c r="E143" s="8">
        <v>0.41016278800000799</v>
      </c>
      <c r="F143" s="8">
        <v>3.5834930000078198E-3</v>
      </c>
      <c r="G143" s="8">
        <v>0.45101045799998468</v>
      </c>
      <c r="H143" s="8">
        <v>0.5397221250000257</v>
      </c>
      <c r="I143" s="9">
        <v>0.83127119799996763</v>
      </c>
    </row>
    <row r="144" spans="1:9" x14ac:dyDescent="0.3">
      <c r="A144" s="7">
        <v>142</v>
      </c>
      <c r="B144" s="8">
        <v>2.8805930000004309E-3</v>
      </c>
      <c r="C144" s="8">
        <v>2.9719900000060311E-3</v>
      </c>
      <c r="D144" s="8">
        <v>0.39782134999998681</v>
      </c>
      <c r="E144" s="8">
        <v>3.8219899999774039E-3</v>
      </c>
      <c r="F144" s="8">
        <v>2.962052000043514E-3</v>
      </c>
      <c r="G144" s="8">
        <v>0.42663739800002531</v>
      </c>
      <c r="H144" s="8">
        <v>0.53063660300000492</v>
      </c>
      <c r="I144" s="9">
        <v>0.79409637300000213</v>
      </c>
    </row>
    <row r="145" spans="1:9" x14ac:dyDescent="0.3">
      <c r="A145" s="7">
        <v>143</v>
      </c>
      <c r="B145" s="8">
        <v>0.24116552299999941</v>
      </c>
      <c r="C145" s="8">
        <v>2.7655519999996159E-3</v>
      </c>
      <c r="D145" s="8">
        <v>3.11245699998608E-3</v>
      </c>
      <c r="E145" s="8">
        <v>0.4583032879999962</v>
      </c>
      <c r="F145" s="8">
        <v>3.3703499999546689E-3</v>
      </c>
      <c r="G145" s="8">
        <v>3.297008999993523E-3</v>
      </c>
      <c r="H145" s="8">
        <v>0.62724130300000525</v>
      </c>
      <c r="I145" s="9">
        <v>0.27406031999998959</v>
      </c>
    </row>
    <row r="146" spans="1:9" x14ac:dyDescent="0.3">
      <c r="A146" s="7">
        <v>144</v>
      </c>
      <c r="B146" s="8">
        <v>2.9257019999988638E-3</v>
      </c>
      <c r="C146" s="8">
        <v>2.9710700000009642E-3</v>
      </c>
      <c r="D146" s="8">
        <v>3.8973690000148049E-3</v>
      </c>
      <c r="E146" s="8">
        <v>0.41566792700001542</v>
      </c>
      <c r="F146" s="8">
        <v>0.39646861900001801</v>
      </c>
      <c r="G146" s="8">
        <v>3.1499099999905411E-3</v>
      </c>
      <c r="H146" s="8">
        <v>0.556236881000018</v>
      </c>
      <c r="I146" s="9">
        <v>0.69528856099998393</v>
      </c>
    </row>
    <row r="147" spans="1:9" x14ac:dyDescent="0.3">
      <c r="A147" s="7">
        <v>145</v>
      </c>
      <c r="B147" s="8">
        <v>3.9493419999985244E-3</v>
      </c>
      <c r="C147" s="8">
        <v>2.893626000002314E-3</v>
      </c>
      <c r="D147" s="8">
        <v>0.45620597299998172</v>
      </c>
      <c r="E147" s="8">
        <v>0.5927045390000103</v>
      </c>
      <c r="F147" s="8">
        <v>3.521874999989905E-3</v>
      </c>
      <c r="G147" s="8">
        <v>0.4454491120000057</v>
      </c>
      <c r="H147" s="8">
        <v>0.64814653600001293</v>
      </c>
      <c r="I147" s="9">
        <v>0.70012651400008963</v>
      </c>
    </row>
    <row r="148" spans="1:9" x14ac:dyDescent="0.3">
      <c r="A148" s="7">
        <v>146</v>
      </c>
      <c r="B148" s="8">
        <v>3.498973000006345E-3</v>
      </c>
      <c r="C148" s="8">
        <v>4.0468459999942752E-3</v>
      </c>
      <c r="D148" s="8">
        <v>0.42224516199999579</v>
      </c>
      <c r="E148" s="8">
        <v>0.4613458580000156</v>
      </c>
      <c r="F148" s="8">
        <v>3.8794380000126689E-3</v>
      </c>
      <c r="G148" s="8">
        <v>0.50796284700004435</v>
      </c>
      <c r="H148" s="8">
        <v>0.52653252499999326</v>
      </c>
      <c r="I148" s="9">
        <v>0.73337758399998165</v>
      </c>
    </row>
    <row r="149" spans="1:9" x14ac:dyDescent="0.3">
      <c r="A149" s="7">
        <v>147</v>
      </c>
      <c r="B149" s="8">
        <v>2.8426430000010332E-3</v>
      </c>
      <c r="C149" s="8">
        <v>5.1374869999989414E-3</v>
      </c>
      <c r="D149" s="8">
        <v>3.838838999996597E-3</v>
      </c>
      <c r="E149" s="8">
        <v>0.47716306699999222</v>
      </c>
      <c r="F149" s="8">
        <v>0.42513523399998121</v>
      </c>
      <c r="G149" s="8">
        <v>3.589839999960986E-3</v>
      </c>
      <c r="H149" s="8">
        <v>0.6338039010000216</v>
      </c>
      <c r="I149" s="9">
        <v>0.63659250099999554</v>
      </c>
    </row>
    <row r="150" spans="1:9" x14ac:dyDescent="0.3">
      <c r="A150" s="7">
        <v>148</v>
      </c>
      <c r="B150" s="8">
        <v>0.40790433000000093</v>
      </c>
      <c r="C150" s="8">
        <v>2.9437970000003588E-3</v>
      </c>
      <c r="D150" s="8">
        <v>0.40886174700000311</v>
      </c>
      <c r="E150" s="8">
        <v>0.47066128800000229</v>
      </c>
      <c r="F150" s="8">
        <v>0.4137142810000114</v>
      </c>
      <c r="G150" s="8">
        <v>0.42414805199996408</v>
      </c>
      <c r="H150" s="8">
        <v>0.65738889099998232</v>
      </c>
      <c r="I150" s="9">
        <v>0.77498643199999151</v>
      </c>
    </row>
    <row r="151" spans="1:9" x14ac:dyDescent="0.3">
      <c r="A151" s="7">
        <v>149</v>
      </c>
      <c r="B151" s="8">
        <v>5.0428870000018833E-3</v>
      </c>
      <c r="C151" s="8">
        <v>2.9993299999944161E-3</v>
      </c>
      <c r="D151" s="8">
        <v>3.1203919999995828E-3</v>
      </c>
      <c r="E151" s="8">
        <v>4.041321000016751E-3</v>
      </c>
      <c r="F151" s="8">
        <v>0.47147380100000191</v>
      </c>
      <c r="G151" s="8">
        <v>3.5247449999928899E-3</v>
      </c>
      <c r="H151" s="8">
        <v>0.77342808700001342</v>
      </c>
      <c r="I151" s="9">
        <v>5.1766590000852366E-3</v>
      </c>
    </row>
    <row r="152" spans="1:9" x14ac:dyDescent="0.3">
      <c r="A152" s="7">
        <v>150</v>
      </c>
      <c r="B152" s="8">
        <v>3.525011000000688E-3</v>
      </c>
      <c r="C152" s="8">
        <v>2.75416499999892E-3</v>
      </c>
      <c r="D152" s="8">
        <v>4.8810339999931776E-3</v>
      </c>
      <c r="E152" s="8">
        <v>0.45980310499999177</v>
      </c>
      <c r="F152" s="8">
        <v>0.5284515900000315</v>
      </c>
      <c r="G152" s="8">
        <v>0.50055314200000112</v>
      </c>
      <c r="H152" s="8">
        <v>0.64625287000001208</v>
      </c>
      <c r="I152" s="9">
        <v>1.9313110250000141</v>
      </c>
    </row>
    <row r="153" spans="1:9" x14ac:dyDescent="0.3">
      <c r="A153" s="7">
        <v>151</v>
      </c>
      <c r="B153" s="8">
        <v>3.6025239999943892E-3</v>
      </c>
      <c r="C153" s="8">
        <v>3.6519169999991159E-3</v>
      </c>
      <c r="D153" s="8">
        <v>0.45411609900000371</v>
      </c>
      <c r="E153" s="8">
        <v>0.47114155099998811</v>
      </c>
      <c r="F153" s="8">
        <v>0.48217364000004181</v>
      </c>
      <c r="G153" s="8">
        <v>0.43249672999996852</v>
      </c>
      <c r="H153" s="8">
        <v>0.68957584300000008</v>
      </c>
      <c r="I153" s="9">
        <v>0.81764612100005252</v>
      </c>
    </row>
    <row r="154" spans="1:9" x14ac:dyDescent="0.3">
      <c r="A154" s="7">
        <v>152</v>
      </c>
      <c r="B154" s="8">
        <v>4.66280900000271E-3</v>
      </c>
      <c r="C154" s="8">
        <v>0.33891430799999972</v>
      </c>
      <c r="D154" s="8">
        <v>0.45105178400001478</v>
      </c>
      <c r="E154" s="8">
        <v>0.4284391059999848</v>
      </c>
      <c r="F154" s="8">
        <v>0.46581597199997299</v>
      </c>
      <c r="G154" s="8">
        <v>0.49532020899999912</v>
      </c>
      <c r="H154" s="8">
        <v>5.9004560000062156E-3</v>
      </c>
      <c r="I154" s="9">
        <v>2.1165126450000571</v>
      </c>
    </row>
    <row r="155" spans="1:9" x14ac:dyDescent="0.3">
      <c r="A155" s="7">
        <v>153</v>
      </c>
      <c r="B155" s="8">
        <v>5.4316630000030841E-3</v>
      </c>
      <c r="C155" s="8">
        <v>3.0912320000027189E-3</v>
      </c>
      <c r="D155" s="8">
        <v>0.50457768199999009</v>
      </c>
      <c r="E155" s="8">
        <v>0.45637128900000329</v>
      </c>
      <c r="F155" s="8">
        <v>3.1659919999924568E-3</v>
      </c>
      <c r="G155" s="8">
        <v>3.22407400000202E-3</v>
      </c>
      <c r="H155" s="8">
        <v>4.2569010000192966E-3</v>
      </c>
      <c r="I155" s="9">
        <v>0.9072878929999888</v>
      </c>
    </row>
    <row r="156" spans="1:9" x14ac:dyDescent="0.3">
      <c r="A156" s="7">
        <v>154</v>
      </c>
      <c r="B156" s="8">
        <v>0.27097818000000018</v>
      </c>
      <c r="C156" s="8">
        <v>3.5380160000073602E-3</v>
      </c>
      <c r="D156" s="8">
        <v>3.898340999995753E-3</v>
      </c>
      <c r="E156" s="8">
        <v>4.1649329999984266E-3</v>
      </c>
      <c r="F156" s="8">
        <v>0.42920037100003577</v>
      </c>
      <c r="G156" s="8">
        <v>4.8966370000016468E-3</v>
      </c>
      <c r="H156" s="8">
        <v>0.5718078680000076</v>
      </c>
      <c r="I156" s="9">
        <v>0.74685113000009551</v>
      </c>
    </row>
    <row r="157" spans="1:9" x14ac:dyDescent="0.3">
      <c r="A157" s="7">
        <v>155</v>
      </c>
      <c r="B157" s="8">
        <v>5.2977200000015054E-3</v>
      </c>
      <c r="C157" s="8">
        <v>3.1527719999928649E-3</v>
      </c>
      <c r="D157" s="8">
        <v>5.9013010000228414E-3</v>
      </c>
      <c r="E157" s="8">
        <v>0.45519966300000192</v>
      </c>
      <c r="F157" s="8">
        <v>0.52303835399999343</v>
      </c>
      <c r="G157" s="8">
        <v>3.8358209999955761E-3</v>
      </c>
      <c r="H157" s="8">
        <v>0.62364505000005011</v>
      </c>
      <c r="I157" s="9">
        <v>1.1256049080000139</v>
      </c>
    </row>
    <row r="158" spans="1:9" x14ac:dyDescent="0.3">
      <c r="A158" s="7">
        <v>156</v>
      </c>
      <c r="B158" s="8">
        <v>3.5320329999990459E-3</v>
      </c>
      <c r="C158" s="8">
        <v>0.39555076399999223</v>
      </c>
      <c r="D158" s="8">
        <v>3.2279010000024751E-3</v>
      </c>
      <c r="E158" s="8">
        <v>4.7934660000237272E-3</v>
      </c>
      <c r="F158" s="8">
        <v>3.1846940000264108E-3</v>
      </c>
      <c r="G158" s="8">
        <v>0.48819614399997141</v>
      </c>
      <c r="H158" s="8">
        <v>0.63813119200000301</v>
      </c>
      <c r="I158" s="9">
        <v>1.2996455859999969</v>
      </c>
    </row>
    <row r="159" spans="1:9" x14ac:dyDescent="0.3">
      <c r="A159" s="7">
        <v>157</v>
      </c>
      <c r="B159" s="8">
        <v>5.9987909999961184E-3</v>
      </c>
      <c r="C159" s="8">
        <v>2.966208999993114E-3</v>
      </c>
      <c r="D159" s="8">
        <v>3.9979070000129013E-3</v>
      </c>
      <c r="E159" s="8">
        <v>0.50514952300000004</v>
      </c>
      <c r="F159" s="8">
        <v>3.9420969999923727E-3</v>
      </c>
      <c r="G159" s="8">
        <v>0.48805578100001412</v>
      </c>
      <c r="H159" s="8">
        <v>0.5779711580000253</v>
      </c>
      <c r="I159" s="9">
        <v>0.78823383099995681</v>
      </c>
    </row>
    <row r="160" spans="1:9" x14ac:dyDescent="0.3">
      <c r="A160" s="7">
        <v>158</v>
      </c>
      <c r="B160" s="8">
        <v>3.8841459999972021E-3</v>
      </c>
      <c r="C160" s="8">
        <v>3.7860489999985698E-3</v>
      </c>
      <c r="D160" s="8">
        <v>0.45168953099999948</v>
      </c>
      <c r="E160" s="8">
        <v>3.4389040000064601E-3</v>
      </c>
      <c r="F160" s="8">
        <v>0.48490922599995662</v>
      </c>
      <c r="G160" s="8">
        <v>3.0625450000343331E-3</v>
      </c>
      <c r="H160" s="8">
        <v>0.61672590699998864</v>
      </c>
      <c r="I160" s="9">
        <v>0.8342633060000253</v>
      </c>
    </row>
    <row r="161" spans="1:9" x14ac:dyDescent="0.3">
      <c r="A161" s="7">
        <v>159</v>
      </c>
      <c r="B161" s="8">
        <v>0.23447987000000131</v>
      </c>
      <c r="C161" s="8">
        <v>3.7732339999934079E-3</v>
      </c>
      <c r="D161" s="8">
        <v>0.27288316600001389</v>
      </c>
      <c r="E161" s="8">
        <v>0.39326047700001249</v>
      </c>
      <c r="F161" s="8">
        <v>5.4012769999758348E-3</v>
      </c>
      <c r="G161" s="8">
        <v>0.52752269699999488</v>
      </c>
      <c r="H161" s="8">
        <v>0.56033371199998783</v>
      </c>
      <c r="I161" s="9">
        <v>0.75507132400002774</v>
      </c>
    </row>
    <row r="162" spans="1:9" x14ac:dyDescent="0.3">
      <c r="A162" s="7">
        <v>160</v>
      </c>
      <c r="B162" s="8">
        <v>4.4746930000059137E-3</v>
      </c>
      <c r="C162" s="8">
        <v>3.635344999992185E-3</v>
      </c>
      <c r="D162" s="8">
        <v>5.1543590000164841E-3</v>
      </c>
      <c r="E162" s="8">
        <v>0.54574451799999224</v>
      </c>
      <c r="F162" s="8">
        <v>3.8810269999771658E-3</v>
      </c>
      <c r="G162" s="8">
        <v>0.60334840900003428</v>
      </c>
      <c r="H162" s="8">
        <v>4.7891049999861926E-3</v>
      </c>
      <c r="I162" s="9">
        <v>5.1723789999869041E-3</v>
      </c>
    </row>
    <row r="163" spans="1:9" x14ac:dyDescent="0.3">
      <c r="A163" s="7">
        <v>161</v>
      </c>
      <c r="B163" s="8">
        <v>0.1889225809999999</v>
      </c>
      <c r="C163" s="8">
        <v>0.32240291200000121</v>
      </c>
      <c r="D163" s="8">
        <v>4.4739220000167279E-3</v>
      </c>
      <c r="E163" s="8">
        <v>0.52360365199999137</v>
      </c>
      <c r="F163" s="8">
        <v>5.4395409999870026E-3</v>
      </c>
      <c r="G163" s="8">
        <v>3.9562019999834766E-3</v>
      </c>
      <c r="H163" s="8">
        <v>0.60033896200002346</v>
      </c>
      <c r="I163" s="9">
        <v>0.95594772399999783</v>
      </c>
    </row>
    <row r="164" spans="1:9" x14ac:dyDescent="0.3">
      <c r="A164" s="7">
        <v>162</v>
      </c>
      <c r="B164" s="8">
        <v>2.8730599999988731E-3</v>
      </c>
      <c r="C164" s="8">
        <v>3.085362999996732E-3</v>
      </c>
      <c r="D164" s="8">
        <v>7.895101000002569E-3</v>
      </c>
      <c r="E164" s="8">
        <v>3.5752980000154371E-3</v>
      </c>
      <c r="F164" s="8">
        <v>0.46523433900000549</v>
      </c>
      <c r="G164" s="8">
        <v>0.5200520660000052</v>
      </c>
      <c r="H164" s="8">
        <v>0.58021641599998475</v>
      </c>
      <c r="I164" s="9">
        <v>3.4182635270000219</v>
      </c>
    </row>
    <row r="165" spans="1:9" x14ac:dyDescent="0.3">
      <c r="A165" s="7">
        <v>163</v>
      </c>
      <c r="B165" s="8">
        <v>2.8571769999956591E-3</v>
      </c>
      <c r="C165" s="8">
        <v>3.374185000012631E-3</v>
      </c>
      <c r="D165" s="8">
        <v>5.0843880000002173E-3</v>
      </c>
      <c r="E165" s="8">
        <v>0.45641279400001622</v>
      </c>
      <c r="F165" s="8">
        <v>0.43343926199997901</v>
      </c>
      <c r="G165" s="8">
        <v>0.51995544099997915</v>
      </c>
      <c r="H165" s="8">
        <v>4.3965009999737958E-3</v>
      </c>
      <c r="I165" s="9">
        <v>2.9771321959999568</v>
      </c>
    </row>
    <row r="166" spans="1:9" x14ac:dyDescent="0.3">
      <c r="A166" s="7">
        <v>164</v>
      </c>
      <c r="B166" s="8">
        <v>4.4637600000001498E-3</v>
      </c>
      <c r="C166" s="8">
        <v>0.31556224999999932</v>
      </c>
      <c r="D166" s="8">
        <v>5.6988620000026913E-3</v>
      </c>
      <c r="E166" s="8">
        <v>3.5492150000209222E-3</v>
      </c>
      <c r="F166" s="8">
        <v>3.3253130000048259E-3</v>
      </c>
      <c r="G166" s="8">
        <v>3.9207770000189157E-3</v>
      </c>
      <c r="H166" s="8">
        <v>0.60710316100005457</v>
      </c>
      <c r="I166" s="9">
        <v>1.9274538000104261E-2</v>
      </c>
    </row>
    <row r="167" spans="1:9" x14ac:dyDescent="0.3">
      <c r="A167" s="7">
        <v>165</v>
      </c>
      <c r="B167" s="8">
        <v>0.33700711099999842</v>
      </c>
      <c r="C167" s="8">
        <v>0.35931685899998911</v>
      </c>
      <c r="D167" s="8">
        <v>0.44604430100000059</v>
      </c>
      <c r="E167" s="8">
        <v>3.7620020000019849E-3</v>
      </c>
      <c r="F167" s="8">
        <v>0.4785205790000191</v>
      </c>
      <c r="G167" s="8">
        <v>0.51914738899995427</v>
      </c>
      <c r="H167" s="8">
        <v>0.5852209079999966</v>
      </c>
      <c r="I167" s="9">
        <v>5.0765880000653851E-3</v>
      </c>
    </row>
    <row r="168" spans="1:9" x14ac:dyDescent="0.3">
      <c r="A168" s="7">
        <v>166</v>
      </c>
      <c r="B168" s="8">
        <v>3.8735369999969289E-3</v>
      </c>
      <c r="C168" s="8">
        <v>3.1073509999970379E-3</v>
      </c>
      <c r="D168" s="8">
        <v>4.23966700000733E-3</v>
      </c>
      <c r="E168" s="8">
        <v>3.3688919999974591E-3</v>
      </c>
      <c r="F168" s="8">
        <v>0.4143325070000401</v>
      </c>
      <c r="G168" s="8">
        <v>3.406293000011829E-3</v>
      </c>
      <c r="H168" s="8">
        <v>0.63654856800002335</v>
      </c>
      <c r="I168" s="9">
        <v>0.75784099200006949</v>
      </c>
    </row>
    <row r="169" spans="1:9" x14ac:dyDescent="0.3">
      <c r="A169" s="7">
        <v>167</v>
      </c>
      <c r="B169" s="8">
        <v>3.8131909999989939E-3</v>
      </c>
      <c r="C169" s="8">
        <v>0.40869263599999778</v>
      </c>
      <c r="D169" s="8">
        <v>3.2238200000165311E-3</v>
      </c>
      <c r="E169" s="8">
        <v>0.38321542700001032</v>
      </c>
      <c r="F169" s="8">
        <v>0.41843084399999952</v>
      </c>
      <c r="G169" s="8">
        <v>0.60014074899999059</v>
      </c>
      <c r="H169" s="8">
        <v>0.61815599999999904</v>
      </c>
      <c r="I169" s="9">
        <v>0.94550684199998614</v>
      </c>
    </row>
    <row r="170" spans="1:9" x14ac:dyDescent="0.3">
      <c r="A170" s="7">
        <v>168</v>
      </c>
      <c r="B170" s="8">
        <v>3.4402089999971959E-3</v>
      </c>
      <c r="C170" s="8">
        <v>0.35611881799999878</v>
      </c>
      <c r="D170" s="8">
        <v>5.6273700000133431E-3</v>
      </c>
      <c r="E170" s="8">
        <v>3.5072740000146041E-3</v>
      </c>
      <c r="F170" s="8">
        <v>3.1378799999970401E-3</v>
      </c>
      <c r="G170" s="8">
        <v>0.59182008699997368</v>
      </c>
      <c r="H170" s="8">
        <v>0.66253752400001531</v>
      </c>
      <c r="I170" s="9">
        <v>0.82961611600001106</v>
      </c>
    </row>
    <row r="171" spans="1:9" x14ac:dyDescent="0.3">
      <c r="A171" s="7">
        <v>169</v>
      </c>
      <c r="B171" s="8">
        <v>2.8437270000054582E-3</v>
      </c>
      <c r="C171" s="8">
        <v>3.3092310000029102E-3</v>
      </c>
      <c r="D171" s="8">
        <v>6.2038030000053368E-3</v>
      </c>
      <c r="E171" s="8">
        <v>2.9608220000056922E-3</v>
      </c>
      <c r="F171" s="8">
        <v>0.44927444100000002</v>
      </c>
      <c r="G171" s="8">
        <v>4.9398489999816766E-3</v>
      </c>
      <c r="H171" s="8">
        <v>0.76299290800000108</v>
      </c>
      <c r="I171" s="9">
        <v>0.74452747800000907</v>
      </c>
    </row>
    <row r="172" spans="1:9" x14ac:dyDescent="0.3">
      <c r="A172" s="7">
        <v>170</v>
      </c>
      <c r="B172" s="8">
        <v>3.5341990000006258E-3</v>
      </c>
      <c r="C172" s="8">
        <v>4.1612650000075746E-3</v>
      </c>
      <c r="D172" s="8">
        <v>2.869613999990861E-3</v>
      </c>
      <c r="E172" s="8">
        <v>3.6620550000066028E-3</v>
      </c>
      <c r="F172" s="8">
        <v>4.0105660000335766E-3</v>
      </c>
      <c r="G172" s="8">
        <v>5.1461449999692377E-3</v>
      </c>
      <c r="H172" s="8">
        <v>4.5431679999978769E-3</v>
      </c>
      <c r="I172" s="9">
        <v>0.76157304900004874</v>
      </c>
    </row>
    <row r="173" spans="1:9" x14ac:dyDescent="0.3">
      <c r="A173" s="7">
        <v>171</v>
      </c>
      <c r="B173" s="8">
        <v>2.88150199999393E-3</v>
      </c>
      <c r="C173" s="8">
        <v>3.5768320000073568E-3</v>
      </c>
      <c r="D173" s="8">
        <v>5.2169570000160093E-3</v>
      </c>
      <c r="E173" s="8">
        <v>0.46259482199999979</v>
      </c>
      <c r="F173" s="8">
        <v>0.47149160300000398</v>
      </c>
      <c r="G173" s="8">
        <v>0.48364281999999997</v>
      </c>
      <c r="H173" s="8">
        <v>0.60185619599997153</v>
      </c>
      <c r="I173" s="9">
        <v>3.2126288999961623E-2</v>
      </c>
    </row>
    <row r="174" spans="1:9" x14ac:dyDescent="0.3">
      <c r="A174" s="7">
        <v>172</v>
      </c>
      <c r="B174" s="8">
        <v>2.894816000001299E-3</v>
      </c>
      <c r="C174" s="8">
        <v>0.35795591500000512</v>
      </c>
      <c r="D174" s="8">
        <v>0.4237914020000062</v>
      </c>
      <c r="E174" s="8">
        <v>3.583466000009139E-3</v>
      </c>
      <c r="F174" s="8">
        <v>0.47589592299999589</v>
      </c>
      <c r="G174" s="8">
        <v>0.53262678700002652</v>
      </c>
      <c r="H174" s="8">
        <v>0.56862632900003973</v>
      </c>
      <c r="I174" s="9">
        <v>0.8248645349999606</v>
      </c>
    </row>
    <row r="175" spans="1:9" x14ac:dyDescent="0.3">
      <c r="A175" s="7">
        <v>173</v>
      </c>
      <c r="B175" s="8">
        <v>3.135792999998444E-3</v>
      </c>
      <c r="C175" s="8">
        <v>3.0540949999959821E-3</v>
      </c>
      <c r="D175" s="8">
        <v>3.2958780000171828E-3</v>
      </c>
      <c r="E175" s="8">
        <v>6.0694510000018909E-3</v>
      </c>
      <c r="F175" s="8">
        <v>3.1955340000422439E-3</v>
      </c>
      <c r="G175" s="8">
        <v>0.49897721900003938</v>
      </c>
      <c r="H175" s="8">
        <v>0.56957450200002313</v>
      </c>
      <c r="I175" s="9">
        <v>5.0947440000754804E-3</v>
      </c>
    </row>
    <row r="176" spans="1:9" x14ac:dyDescent="0.3">
      <c r="A176" s="7">
        <v>174</v>
      </c>
      <c r="B176" s="8">
        <v>2.7852609999996498E-3</v>
      </c>
      <c r="C176" s="8">
        <v>3.9905349999997952E-3</v>
      </c>
      <c r="D176" s="8">
        <v>3.142276000005495E-3</v>
      </c>
      <c r="E176" s="8">
        <v>3.4116479999966032E-3</v>
      </c>
      <c r="F176" s="8">
        <v>0.4056924519999825</v>
      </c>
      <c r="G176" s="8">
        <v>3.5158400000341321E-3</v>
      </c>
      <c r="H176" s="8">
        <v>0.62059343200002104</v>
      </c>
      <c r="I176" s="9">
        <v>0.81391000899998289</v>
      </c>
    </row>
    <row r="177" spans="1:9" x14ac:dyDescent="0.3">
      <c r="A177" s="7">
        <v>175</v>
      </c>
      <c r="B177" s="8">
        <v>3.1972949999996558E-3</v>
      </c>
      <c r="C177" s="8">
        <v>3.7498539999916152E-3</v>
      </c>
      <c r="D177" s="8">
        <v>0.43917922600002163</v>
      </c>
      <c r="E177" s="8">
        <v>1.0250986529999859</v>
      </c>
      <c r="F177" s="8">
        <v>3.187909000018863E-3</v>
      </c>
      <c r="G177" s="8">
        <v>3.7314760000413121E-3</v>
      </c>
      <c r="H177" s="8">
        <v>0.54855049899998676</v>
      </c>
      <c r="I177" s="9">
        <v>1.216823051999995</v>
      </c>
    </row>
    <row r="178" spans="1:9" x14ac:dyDescent="0.3">
      <c r="A178" s="7">
        <v>176</v>
      </c>
      <c r="B178" s="8">
        <v>0.39029323999999832</v>
      </c>
      <c r="C178" s="8">
        <v>0.19914778800000479</v>
      </c>
      <c r="D178" s="8">
        <v>0.41442888599999611</v>
      </c>
      <c r="E178" s="8">
        <v>4.388763999997991E-3</v>
      </c>
      <c r="F178" s="8">
        <v>2.9093989999751102E-3</v>
      </c>
      <c r="G178" s="8">
        <v>0.62394486699997742</v>
      </c>
      <c r="H178" s="8">
        <v>0.54730895200003715</v>
      </c>
      <c r="I178" s="9">
        <v>6.4895169999772406E-3</v>
      </c>
    </row>
    <row r="179" spans="1:9" x14ac:dyDescent="0.3">
      <c r="A179" s="7">
        <v>177</v>
      </c>
      <c r="B179" s="8">
        <v>7.1735670000023788E-3</v>
      </c>
      <c r="C179" s="8">
        <v>0.39404343699999339</v>
      </c>
      <c r="D179" s="8">
        <v>0.47852875500001352</v>
      </c>
      <c r="E179" s="8">
        <v>3.229986000008012E-3</v>
      </c>
      <c r="F179" s="8">
        <v>4.1016270000113764E-3</v>
      </c>
      <c r="G179" s="8">
        <v>0.53687466799999584</v>
      </c>
      <c r="H179" s="8">
        <v>6.1403800000334741E-3</v>
      </c>
      <c r="I179" s="9">
        <v>0.68657172400003219</v>
      </c>
    </row>
    <row r="180" spans="1:9" x14ac:dyDescent="0.3">
      <c r="A180" s="7">
        <v>178</v>
      </c>
      <c r="B180" s="8">
        <v>0.2312241020000059</v>
      </c>
      <c r="C180" s="8">
        <v>0.36824253800000412</v>
      </c>
      <c r="D180" s="8">
        <v>0.46232973400000787</v>
      </c>
      <c r="E180" s="8">
        <v>1.520270299999993E-2</v>
      </c>
      <c r="F180" s="8">
        <v>3.4871580000412909E-3</v>
      </c>
      <c r="G180" s="8">
        <v>0.4846636849999868</v>
      </c>
      <c r="H180" s="8">
        <v>0.5877436560000433</v>
      </c>
      <c r="I180" s="9">
        <v>0.65836605300000883</v>
      </c>
    </row>
    <row r="181" spans="1:9" x14ac:dyDescent="0.3">
      <c r="A181" s="7">
        <v>179</v>
      </c>
      <c r="B181" s="8">
        <v>3.121510999996246E-3</v>
      </c>
      <c r="C181" s="8">
        <v>0.34638389799999908</v>
      </c>
      <c r="D181" s="8">
        <v>0.46411922399997252</v>
      </c>
      <c r="E181" s="8">
        <v>5.6895049999923231E-3</v>
      </c>
      <c r="F181" s="8">
        <v>3.0592219999903141E-3</v>
      </c>
      <c r="G181" s="8">
        <v>5.333484999994198E-3</v>
      </c>
      <c r="H181" s="8">
        <v>0.78570363599999382</v>
      </c>
      <c r="I181" s="9">
        <v>0.70282419599993773</v>
      </c>
    </row>
    <row r="182" spans="1:9" x14ac:dyDescent="0.3">
      <c r="A182" s="7">
        <v>180</v>
      </c>
      <c r="B182" s="8">
        <v>0.33833738500000271</v>
      </c>
      <c r="C182" s="8">
        <v>3.1082269999984651E-3</v>
      </c>
      <c r="D182" s="8">
        <v>0.64634726700001011</v>
      </c>
      <c r="E182" s="8">
        <v>0.49534808100000299</v>
      </c>
      <c r="F182" s="8">
        <v>3.0399099999840469E-3</v>
      </c>
      <c r="G182" s="8">
        <v>3.5104799999885472E-3</v>
      </c>
      <c r="H182" s="8">
        <v>0.6205489359999774</v>
      </c>
      <c r="I182" s="9">
        <v>0.8349022419999983</v>
      </c>
    </row>
    <row r="183" spans="1:9" x14ac:dyDescent="0.3">
      <c r="A183" s="7">
        <v>181</v>
      </c>
      <c r="B183" s="8">
        <v>4.1716909999962581E-3</v>
      </c>
      <c r="C183" s="8">
        <v>0.37559221500001172</v>
      </c>
      <c r="D183" s="8">
        <v>0.52465720300000385</v>
      </c>
      <c r="E183" s="8">
        <v>3.274724999982936E-3</v>
      </c>
      <c r="F183" s="8">
        <v>3.1931659999600011E-3</v>
      </c>
      <c r="G183" s="8">
        <v>4.1201549999527742E-3</v>
      </c>
      <c r="H183" s="8">
        <v>4.0588720000300782E-3</v>
      </c>
      <c r="I183" s="9">
        <v>0.97916263499996603</v>
      </c>
    </row>
    <row r="184" spans="1:9" x14ac:dyDescent="0.3">
      <c r="A184" s="7">
        <v>182</v>
      </c>
      <c r="B184" s="8">
        <v>0.37690402799999839</v>
      </c>
      <c r="C184" s="8">
        <v>0.35558967500000449</v>
      </c>
      <c r="D184" s="8">
        <v>5.3766229999894222E-3</v>
      </c>
      <c r="E184" s="8">
        <v>4.2370319999918138E-3</v>
      </c>
      <c r="F184" s="8">
        <v>0.42929473999998891</v>
      </c>
      <c r="G184" s="8">
        <v>4.2274940000197603E-3</v>
      </c>
      <c r="H184" s="8">
        <v>0.62637128000000075</v>
      </c>
      <c r="I184" s="9">
        <v>1.238216453999939</v>
      </c>
    </row>
    <row r="185" spans="1:9" x14ac:dyDescent="0.3">
      <c r="A185" s="7">
        <v>183</v>
      </c>
      <c r="B185" s="8">
        <v>2.9599320000102129E-3</v>
      </c>
      <c r="C185" s="8">
        <v>3.099801000004732E-3</v>
      </c>
      <c r="D185" s="8">
        <v>0.44592217599998207</v>
      </c>
      <c r="E185" s="8">
        <v>0.37761920500000201</v>
      </c>
      <c r="F185" s="8">
        <v>0.41349487099995491</v>
      </c>
      <c r="G185" s="8">
        <v>0.43315092899996438</v>
      </c>
      <c r="H185" s="8">
        <v>5.0734900000293237E-3</v>
      </c>
      <c r="I185" s="9">
        <v>0.74544349799998599</v>
      </c>
    </row>
    <row r="186" spans="1:9" x14ac:dyDescent="0.3">
      <c r="A186" s="7">
        <v>184</v>
      </c>
      <c r="B186" s="8">
        <v>5.4077820000060228E-3</v>
      </c>
      <c r="C186" s="8">
        <v>0.36090845399999688</v>
      </c>
      <c r="D186" s="8">
        <v>0.39516016400000348</v>
      </c>
      <c r="E186" s="8">
        <v>0.45633372199998229</v>
      </c>
      <c r="F186" s="8">
        <v>0.39984889400000162</v>
      </c>
      <c r="G186" s="8">
        <v>3.488665000020319E-3</v>
      </c>
      <c r="H186" s="8">
        <v>0.63852059599997801</v>
      </c>
      <c r="I186" s="9">
        <v>0.81527718799998183</v>
      </c>
    </row>
    <row r="187" spans="1:9" x14ac:dyDescent="0.3">
      <c r="A187" s="7">
        <v>185</v>
      </c>
      <c r="B187" s="8">
        <v>3.4439190000057351E-3</v>
      </c>
      <c r="C187" s="8">
        <v>0.35324320399999459</v>
      </c>
      <c r="D187" s="8">
        <v>3.140053000009857E-3</v>
      </c>
      <c r="E187" s="8">
        <v>6.1327579999783666E-3</v>
      </c>
      <c r="F187" s="8">
        <v>4.3549889999781044E-3</v>
      </c>
      <c r="G187" s="8">
        <v>3.703678000022137E-3</v>
      </c>
      <c r="H187" s="8">
        <v>3.5621030000356768E-3</v>
      </c>
      <c r="I187" s="9">
        <v>0.63942240200003653</v>
      </c>
    </row>
    <row r="188" spans="1:9" x14ac:dyDescent="0.3">
      <c r="A188" s="7">
        <v>186</v>
      </c>
      <c r="B188" s="8">
        <v>3.8973780000048919E-3</v>
      </c>
      <c r="C188" s="8">
        <v>3.1338109999978769E-3</v>
      </c>
      <c r="D188" s="8">
        <v>0.46514338000000072</v>
      </c>
      <c r="E188" s="8">
        <v>0.44913110899997832</v>
      </c>
      <c r="F188" s="8">
        <v>3.2148580000352922E-3</v>
      </c>
      <c r="G188" s="8">
        <v>3.43881299994564E-3</v>
      </c>
      <c r="H188" s="8">
        <v>0.61847202400002743</v>
      </c>
      <c r="I188" s="9">
        <v>4.3221880000601232E-3</v>
      </c>
    </row>
    <row r="189" spans="1:9" x14ac:dyDescent="0.3">
      <c r="A189" s="7">
        <v>187</v>
      </c>
      <c r="B189" s="8">
        <v>2.8071209999893649E-3</v>
      </c>
      <c r="C189" s="8">
        <v>0.350070290000005</v>
      </c>
      <c r="D189" s="8">
        <v>3.0431539999824508E-3</v>
      </c>
      <c r="E189" s="8">
        <v>3.9446069999939937E-3</v>
      </c>
      <c r="F189" s="8">
        <v>3.6050509999654419E-3</v>
      </c>
      <c r="G189" s="8">
        <v>0.40255715699998967</v>
      </c>
      <c r="H189" s="8">
        <v>0.77038783399996191</v>
      </c>
      <c r="I189" s="9">
        <v>0.69779781099998672</v>
      </c>
    </row>
    <row r="190" spans="1:9" x14ac:dyDescent="0.3">
      <c r="A190" s="7">
        <v>188</v>
      </c>
      <c r="B190" s="8">
        <v>0.42930173599999932</v>
      </c>
      <c r="C190" s="8">
        <v>2.9354899999987079E-3</v>
      </c>
      <c r="D190" s="8">
        <v>3.6166229999992079E-3</v>
      </c>
      <c r="E190" s="8">
        <v>0.40704725800000569</v>
      </c>
      <c r="F190" s="8">
        <v>0.40400598299999052</v>
      </c>
      <c r="G190" s="8">
        <v>3.2447710000269581E-3</v>
      </c>
      <c r="H190" s="8">
        <v>0.66905775199995787</v>
      </c>
      <c r="I190" s="9">
        <v>1.0433581580000459</v>
      </c>
    </row>
    <row r="191" spans="1:9" x14ac:dyDescent="0.3">
      <c r="A191" s="7">
        <v>189</v>
      </c>
      <c r="B191" s="8">
        <v>0.33722233699999998</v>
      </c>
      <c r="C191" s="8">
        <v>3.7257339999996471E-3</v>
      </c>
      <c r="D191" s="8">
        <v>0.37649860400000529</v>
      </c>
      <c r="E191" s="8">
        <v>4.3660720000104902E-3</v>
      </c>
      <c r="F191" s="8">
        <v>0.42685917700003978</v>
      </c>
      <c r="G191" s="8">
        <v>3.042945000004238E-3</v>
      </c>
      <c r="H191" s="8">
        <v>0.55083659199999602</v>
      </c>
      <c r="I191" s="9">
        <v>1.5561791920000589</v>
      </c>
    </row>
    <row r="192" spans="1:9" x14ac:dyDescent="0.3">
      <c r="A192" s="7">
        <v>190</v>
      </c>
      <c r="B192" s="8">
        <v>0.24633745799999929</v>
      </c>
      <c r="C192" s="8">
        <v>3.5692839999939001E-3</v>
      </c>
      <c r="D192" s="8">
        <v>0.43425448100001057</v>
      </c>
      <c r="E192" s="8">
        <v>0.49172982000001753</v>
      </c>
      <c r="F192" s="8">
        <v>0.39680237900000748</v>
      </c>
      <c r="G192" s="8">
        <v>0.44263244300003629</v>
      </c>
      <c r="H192" s="8">
        <v>0.57929087900004106</v>
      </c>
      <c r="I192" s="9">
        <v>0.81919621299994105</v>
      </c>
    </row>
    <row r="193" spans="1:9" x14ac:dyDescent="0.3">
      <c r="A193" s="7">
        <v>191</v>
      </c>
      <c r="B193" s="8">
        <v>3.2528099999922229E-3</v>
      </c>
      <c r="C193" s="8">
        <v>3.3513089999956951E-3</v>
      </c>
      <c r="D193" s="8">
        <v>3.0949910000117602E-3</v>
      </c>
      <c r="E193" s="8">
        <v>0.88314584899998749</v>
      </c>
      <c r="F193" s="8">
        <v>0.40072676500000171</v>
      </c>
      <c r="G193" s="8">
        <v>0.44288585999998992</v>
      </c>
      <c r="H193" s="8">
        <v>0.56768470700001217</v>
      </c>
      <c r="I193" s="9">
        <v>3.0461617580000389</v>
      </c>
    </row>
    <row r="194" spans="1:9" x14ac:dyDescent="0.3">
      <c r="A194" s="7">
        <v>192</v>
      </c>
      <c r="B194" s="8">
        <v>1.03242320000021E-2</v>
      </c>
      <c r="C194" s="8">
        <v>3.2262489999936861E-3</v>
      </c>
      <c r="D194" s="8">
        <v>0.24299315700000079</v>
      </c>
      <c r="E194" s="8">
        <v>3.2727734999980378E-2</v>
      </c>
      <c r="F194" s="8">
        <v>3.0974320000041189E-3</v>
      </c>
      <c r="G194" s="8">
        <v>0.45269717999997278</v>
      </c>
      <c r="H194" s="8">
        <v>0.6446966620000012</v>
      </c>
      <c r="I194" s="9">
        <v>0.73051853599997685</v>
      </c>
    </row>
    <row r="195" spans="1:9" x14ac:dyDescent="0.3">
      <c r="A195" s="7">
        <v>193</v>
      </c>
      <c r="B195" s="8">
        <v>2.9763109999976218E-3</v>
      </c>
      <c r="C195" s="8">
        <v>3.6966069999948559E-3</v>
      </c>
      <c r="D195" s="8">
        <v>0.53709379000000013</v>
      </c>
      <c r="E195" s="8">
        <v>1.3244421060000211</v>
      </c>
      <c r="F195" s="8">
        <v>2.898705999996309E-3</v>
      </c>
      <c r="G195" s="8">
        <v>0.43870623200001552</v>
      </c>
      <c r="H195" s="8">
        <v>0.56605027000000518</v>
      </c>
      <c r="I195" s="9">
        <v>1.4951903999985919E-2</v>
      </c>
    </row>
    <row r="196" spans="1:9" x14ac:dyDescent="0.3">
      <c r="A196" s="7">
        <v>194</v>
      </c>
      <c r="B196" s="8">
        <v>0.50981151599999919</v>
      </c>
      <c r="C196" s="8">
        <v>2.9921990000048031E-3</v>
      </c>
      <c r="D196" s="8">
        <v>0.29865270499999502</v>
      </c>
      <c r="E196" s="8">
        <v>0.62130642099998568</v>
      </c>
      <c r="F196" s="8">
        <v>3.0910199999993888E-3</v>
      </c>
      <c r="G196" s="8">
        <v>0.48423873100000492</v>
      </c>
      <c r="H196" s="8">
        <v>0.64712495999998509</v>
      </c>
      <c r="I196" s="9">
        <v>0.74782137299996521</v>
      </c>
    </row>
    <row r="197" spans="1:9" x14ac:dyDescent="0.3">
      <c r="A197" s="7">
        <v>195</v>
      </c>
      <c r="B197" s="8">
        <v>4.5439080000022614E-3</v>
      </c>
      <c r="C197" s="8">
        <v>2.7739850000045858E-3</v>
      </c>
      <c r="D197" s="8">
        <v>6.7764300000021649E-3</v>
      </c>
      <c r="E197" s="8">
        <v>3.4713819999865341E-3</v>
      </c>
      <c r="F197" s="8">
        <v>0.46028615900002018</v>
      </c>
      <c r="G197" s="8">
        <v>0.4492335219999859</v>
      </c>
      <c r="H197" s="8">
        <v>0.73547535799997377</v>
      </c>
      <c r="I197" s="9">
        <v>5.4888608189999104</v>
      </c>
    </row>
    <row r="198" spans="1:9" x14ac:dyDescent="0.3">
      <c r="A198" s="7">
        <v>196</v>
      </c>
      <c r="B198" s="8">
        <v>3.6303029999942278E-3</v>
      </c>
      <c r="C198" s="8">
        <v>2.918511999993711E-3</v>
      </c>
      <c r="D198" s="8">
        <v>3.0592849999777631E-3</v>
      </c>
      <c r="E198" s="8">
        <v>0.85947028300000738</v>
      </c>
      <c r="F198" s="8">
        <v>3.2760889999963179E-3</v>
      </c>
      <c r="G198" s="8">
        <v>0.47068027599999601</v>
      </c>
      <c r="H198" s="8">
        <v>0.62655094400003009</v>
      </c>
      <c r="I198" s="9">
        <v>0.75937643600002502</v>
      </c>
    </row>
    <row r="199" spans="1:9" x14ac:dyDescent="0.3">
      <c r="A199" s="7">
        <v>197</v>
      </c>
      <c r="B199" s="8">
        <v>5.6407359999894879E-3</v>
      </c>
      <c r="C199" s="8">
        <v>0.31001391200000228</v>
      </c>
      <c r="D199" s="8">
        <v>6.7587730000013826E-3</v>
      </c>
      <c r="E199" s="8">
        <v>3.4150920000115552E-3</v>
      </c>
      <c r="F199" s="8">
        <v>6.5186140000150772E-3</v>
      </c>
      <c r="G199" s="8">
        <v>0.45348769200001021</v>
      </c>
      <c r="H199" s="8">
        <v>0.78738892900003066</v>
      </c>
      <c r="I199" s="9">
        <v>0.69113704199992299</v>
      </c>
    </row>
    <row r="200" spans="1:9" x14ac:dyDescent="0.3">
      <c r="A200" s="7">
        <v>198</v>
      </c>
      <c r="B200" s="8">
        <v>0.2104572069999904</v>
      </c>
      <c r="C200" s="8">
        <v>0.36581252300000239</v>
      </c>
      <c r="D200" s="8">
        <v>5.1537469999800578E-3</v>
      </c>
      <c r="E200" s="8">
        <v>0.6484546800000146</v>
      </c>
      <c r="F200" s="8">
        <v>0.49934392599999461</v>
      </c>
      <c r="G200" s="8">
        <v>0.47718618999999762</v>
      </c>
      <c r="H200" s="8">
        <v>0.5862186169999859</v>
      </c>
      <c r="I200" s="9">
        <v>0.69237228400004369</v>
      </c>
    </row>
    <row r="201" spans="1:9" ht="15" thickBot="1" x14ac:dyDescent="0.35">
      <c r="A201" s="10">
        <v>199</v>
      </c>
      <c r="B201" s="11">
        <v>0.39651326099999551</v>
      </c>
      <c r="C201" s="11">
        <v>2.951176999999916E-3</v>
      </c>
      <c r="D201" s="11">
        <v>2.968094999999948E-3</v>
      </c>
      <c r="E201" s="11">
        <v>5.3471890000196254E-3</v>
      </c>
      <c r="F201" s="11">
        <v>0.47208366000000979</v>
      </c>
      <c r="G201" s="11">
        <v>0.48357764599995789</v>
      </c>
      <c r="H201" s="11">
        <v>0.53999158700003136</v>
      </c>
      <c r="I201" s="12">
        <v>0.982324167999991</v>
      </c>
    </row>
    <row r="202" spans="1:9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F97D-DC20-4A65-A99E-913A867EE143}">
  <dimension ref="B9"/>
  <sheetViews>
    <sheetView workbookViewId="0"/>
  </sheetViews>
  <sheetFormatPr defaultRowHeight="14.4" x14ac:dyDescent="0.3"/>
  <sheetData>
    <row r="9" spans="2:2" x14ac:dyDescent="0.3">
      <c r="B9" s="1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9BF9-2667-40E6-9D94-470A64BFD8BF}">
  <dimension ref="A1:T38"/>
  <sheetViews>
    <sheetView workbookViewId="0"/>
  </sheetViews>
  <sheetFormatPr defaultColWidth="30.77734375" defaultRowHeight="14.4" x14ac:dyDescent="0.3"/>
  <cols>
    <col min="1" max="1" width="30.77734375" style="3"/>
    <col min="2" max="16384" width="30.77734375" style="2"/>
  </cols>
  <sheetData>
    <row r="1" spans="1:20" x14ac:dyDescent="0.3">
      <c r="A1" s="3" t="s">
        <v>17</v>
      </c>
      <c r="B1" s="2" t="s">
        <v>18</v>
      </c>
      <c r="C1" s="2" t="s">
        <v>8</v>
      </c>
      <c r="D1" s="2">
        <v>7</v>
      </c>
      <c r="E1" s="2" t="s">
        <v>9</v>
      </c>
      <c r="F1" s="2">
        <v>6</v>
      </c>
      <c r="G1" s="2" t="s">
        <v>10</v>
      </c>
      <c r="H1" s="2">
        <v>1</v>
      </c>
      <c r="I1" s="2" t="s">
        <v>11</v>
      </c>
      <c r="J1" s="2">
        <v>1</v>
      </c>
      <c r="K1" s="2" t="s">
        <v>12</v>
      </c>
      <c r="L1" s="2">
        <v>0</v>
      </c>
      <c r="M1" s="2" t="s">
        <v>13</v>
      </c>
      <c r="N1" s="2">
        <v>0</v>
      </c>
      <c r="O1" s="2" t="s">
        <v>14</v>
      </c>
      <c r="P1" s="2">
        <v>1</v>
      </c>
      <c r="Q1" s="2" t="s">
        <v>15</v>
      </c>
      <c r="R1" s="2">
        <v>0</v>
      </c>
      <c r="S1" s="2" t="s">
        <v>16</v>
      </c>
      <c r="T1" s="2">
        <v>0</v>
      </c>
    </row>
    <row r="2" spans="1:20" x14ac:dyDescent="0.3">
      <c r="A2" s="3" t="s">
        <v>19</v>
      </c>
      <c r="B2" s="2" t="s">
        <v>20</v>
      </c>
    </row>
    <row r="3" spans="1:20" x14ac:dyDescent="0.3">
      <c r="A3" s="3" t="s">
        <v>21</v>
      </c>
      <c r="B3" s="2" t="b">
        <f>IF(B10&gt;256,"TripUpST110AndEarlier",TRUE)</f>
        <v>1</v>
      </c>
    </row>
    <row r="4" spans="1:20" x14ac:dyDescent="0.3">
      <c r="A4" s="3" t="s">
        <v>22</v>
      </c>
      <c r="B4" s="2" t="s">
        <v>23</v>
      </c>
    </row>
    <row r="5" spans="1:20" x14ac:dyDescent="0.3">
      <c r="A5" s="3" t="s">
        <v>24</v>
      </c>
      <c r="B5" s="2" t="b">
        <v>1</v>
      </c>
    </row>
    <row r="6" spans="1:20" x14ac:dyDescent="0.3">
      <c r="A6" s="3" t="s">
        <v>25</v>
      </c>
      <c r="B6" s="2" t="b">
        <v>0</v>
      </c>
    </row>
    <row r="7" spans="1:20" x14ac:dyDescent="0.3">
      <c r="A7" s="3" t="s">
        <v>26</v>
      </c>
      <c r="B7" s="2">
        <f>Sheet1!$A$1:$I$201</f>
        <v>3.0852179999953928E-3</v>
      </c>
    </row>
    <row r="8" spans="1:20" x14ac:dyDescent="0.3">
      <c r="A8" s="3" t="s">
        <v>27</v>
      </c>
      <c r="B8" s="2">
        <v>2</v>
      </c>
    </row>
    <row r="9" spans="1:20" x14ac:dyDescent="0.3">
      <c r="A9" s="3" t="s">
        <v>28</v>
      </c>
      <c r="B9" s="13">
        <f>1</f>
        <v>1</v>
      </c>
    </row>
    <row r="10" spans="1:20" x14ac:dyDescent="0.3">
      <c r="A10" s="3" t="s">
        <v>29</v>
      </c>
      <c r="B10" s="2">
        <v>9</v>
      </c>
    </row>
    <row r="12" spans="1:20" x14ac:dyDescent="0.3">
      <c r="A12" s="3" t="s">
        <v>30</v>
      </c>
      <c r="B12" s="2" t="s">
        <v>31</v>
      </c>
      <c r="C12" s="2" t="s">
        <v>32</v>
      </c>
      <c r="D12" s="2" t="s">
        <v>33</v>
      </c>
      <c r="E12" s="2" t="b">
        <v>1</v>
      </c>
      <c r="F12" s="2">
        <v>0</v>
      </c>
      <c r="G12" s="2">
        <v>4</v>
      </c>
      <c r="H12" s="2">
        <v>0</v>
      </c>
    </row>
    <row r="13" spans="1:20" x14ac:dyDescent="0.3">
      <c r="A13" s="3" t="s">
        <v>34</v>
      </c>
      <c r="B13" s="2">
        <f>Sheet1!$A$1:$A$201</f>
        <v>11</v>
      </c>
    </row>
    <row r="14" spans="1:20" x14ac:dyDescent="0.3">
      <c r="A14" s="3" t="s">
        <v>35</v>
      </c>
    </row>
    <row r="15" spans="1:20" x14ac:dyDescent="0.3">
      <c r="A15" s="3" t="s">
        <v>36</v>
      </c>
      <c r="B15" s="2" t="s">
        <v>37</v>
      </c>
      <c r="C15" s="2" t="s">
        <v>38</v>
      </c>
      <c r="D15" s="2" t="s">
        <v>39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3">
      <c r="A16" s="3" t="s">
        <v>40</v>
      </c>
      <c r="B16" s="2">
        <f>Sheet1!$B$1:$B$201</f>
        <v>4.4532430000003842E-3</v>
      </c>
    </row>
    <row r="17" spans="1:8" x14ac:dyDescent="0.3">
      <c r="A17" s="3" t="s">
        <v>41</v>
      </c>
    </row>
    <row r="18" spans="1:8" x14ac:dyDescent="0.3">
      <c r="A18" s="3" t="s">
        <v>42</v>
      </c>
      <c r="B18" s="2" t="s">
        <v>43</v>
      </c>
      <c r="C18" s="2" t="s">
        <v>44</v>
      </c>
      <c r="D18" s="2" t="s">
        <v>45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3">
      <c r="A19" s="3" t="s">
        <v>46</v>
      </c>
      <c r="B19" s="2">
        <f>Sheet1!$C$1:$C$201</f>
        <v>3.320586999990383E-3</v>
      </c>
    </row>
    <row r="20" spans="1:8" x14ac:dyDescent="0.3">
      <c r="A20" s="3" t="s">
        <v>47</v>
      </c>
    </row>
    <row r="21" spans="1:8" x14ac:dyDescent="0.3">
      <c r="A21" s="3" t="s">
        <v>48</v>
      </c>
      <c r="B21" s="2" t="s">
        <v>49</v>
      </c>
      <c r="C21" s="2" t="s">
        <v>50</v>
      </c>
      <c r="D21" s="2" t="s">
        <v>51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3">
      <c r="A22" s="3" t="s">
        <v>52</v>
      </c>
      <c r="B22" s="2">
        <f>Sheet1!$D$1:$D$201</f>
        <v>0.38230005299999448</v>
      </c>
    </row>
    <row r="23" spans="1:8" x14ac:dyDescent="0.3">
      <c r="A23" s="3" t="s">
        <v>53</v>
      </c>
    </row>
    <row r="24" spans="1:8" x14ac:dyDescent="0.3">
      <c r="A24" s="3" t="s">
        <v>54</v>
      </c>
      <c r="B24" s="2" t="s">
        <v>55</v>
      </c>
      <c r="C24" s="2" t="s">
        <v>56</v>
      </c>
      <c r="D24" s="2" t="s">
        <v>57</v>
      </c>
      <c r="E24" s="2" t="b">
        <v>1</v>
      </c>
      <c r="F24" s="2">
        <v>0</v>
      </c>
      <c r="G24" s="2">
        <v>4</v>
      </c>
      <c r="H24" s="2">
        <v>0</v>
      </c>
    </row>
    <row r="25" spans="1:8" x14ac:dyDescent="0.3">
      <c r="A25" s="3" t="s">
        <v>58</v>
      </c>
      <c r="B25" s="2">
        <f>Sheet1!$E$1:$E$201</f>
        <v>0.45604594799999632</v>
      </c>
    </row>
    <row r="26" spans="1:8" x14ac:dyDescent="0.3">
      <c r="A26" s="3" t="s">
        <v>59</v>
      </c>
    </row>
    <row r="27" spans="1:8" x14ac:dyDescent="0.3">
      <c r="A27" s="3" t="s">
        <v>60</v>
      </c>
      <c r="B27" s="2" t="s">
        <v>61</v>
      </c>
      <c r="C27" s="2" t="s">
        <v>62</v>
      </c>
      <c r="D27" s="2" t="s">
        <v>63</v>
      </c>
      <c r="E27" s="2" t="b">
        <v>1</v>
      </c>
      <c r="F27" s="2">
        <v>0</v>
      </c>
      <c r="G27" s="2">
        <v>4</v>
      </c>
      <c r="H27" s="2">
        <v>0</v>
      </c>
    </row>
    <row r="28" spans="1:8" x14ac:dyDescent="0.3">
      <c r="A28" s="3" t="s">
        <v>64</v>
      </c>
      <c r="B28" s="2">
        <f>Sheet1!$F$1:$F$201</f>
        <v>0.52203397600004564</v>
      </c>
    </row>
    <row r="29" spans="1:8" x14ac:dyDescent="0.3">
      <c r="A29" s="3" t="s">
        <v>65</v>
      </c>
    </row>
    <row r="30" spans="1:8" x14ac:dyDescent="0.3">
      <c r="A30" s="3" t="s">
        <v>66</v>
      </c>
      <c r="B30" s="2" t="s">
        <v>67</v>
      </c>
      <c r="C30" s="2" t="s">
        <v>68</v>
      </c>
      <c r="D30" s="2" t="s">
        <v>69</v>
      </c>
      <c r="E30" s="2" t="b">
        <v>1</v>
      </c>
      <c r="F30" s="2">
        <v>0</v>
      </c>
      <c r="G30" s="2">
        <v>4</v>
      </c>
      <c r="H30" s="2">
        <v>0</v>
      </c>
    </row>
    <row r="31" spans="1:8" x14ac:dyDescent="0.3">
      <c r="A31" s="3" t="s">
        <v>70</v>
      </c>
      <c r="B31" s="2">
        <f>Sheet1!$G$1:$G$201</f>
        <v>0.59711353599999484</v>
      </c>
    </row>
    <row r="32" spans="1:8" x14ac:dyDescent="0.3">
      <c r="A32" s="3" t="s">
        <v>71</v>
      </c>
    </row>
    <row r="33" spans="1:8" x14ac:dyDescent="0.3">
      <c r="A33" s="3" t="s">
        <v>72</v>
      </c>
      <c r="B33" s="2" t="s">
        <v>73</v>
      </c>
      <c r="C33" s="2" t="s">
        <v>74</v>
      </c>
      <c r="D33" s="2" t="s">
        <v>75</v>
      </c>
      <c r="E33" s="2" t="b">
        <v>1</v>
      </c>
      <c r="F33" s="2">
        <v>0</v>
      </c>
      <c r="G33" s="2">
        <v>4</v>
      </c>
      <c r="H33" s="2">
        <v>0</v>
      </c>
    </row>
    <row r="34" spans="1:8" x14ac:dyDescent="0.3">
      <c r="A34" s="3" t="s">
        <v>76</v>
      </c>
      <c r="B34" s="2">
        <f>Sheet1!$H$1:$H$201</f>
        <v>0.66987030100000311</v>
      </c>
    </row>
    <row r="35" spans="1:8" x14ac:dyDescent="0.3">
      <c r="A35" s="3" t="s">
        <v>77</v>
      </c>
    </row>
    <row r="36" spans="1:8" x14ac:dyDescent="0.3">
      <c r="A36" s="3" t="s">
        <v>78</v>
      </c>
      <c r="B36" s="2" t="s">
        <v>79</v>
      </c>
      <c r="C36" s="2" t="s">
        <v>80</v>
      </c>
      <c r="D36" s="2" t="s">
        <v>81</v>
      </c>
      <c r="E36" s="2" t="b">
        <v>1</v>
      </c>
      <c r="F36" s="2">
        <v>0</v>
      </c>
      <c r="G36" s="2">
        <v>4</v>
      </c>
      <c r="H36" s="2">
        <v>0</v>
      </c>
    </row>
    <row r="37" spans="1:8" x14ac:dyDescent="0.3">
      <c r="A37" s="3" t="s">
        <v>82</v>
      </c>
      <c r="B37" s="2">
        <f>Sheet1!$I$1:$I$201</f>
        <v>0.75756627999999182</v>
      </c>
    </row>
    <row r="38" spans="1:8" x14ac:dyDescent="0.3">
      <c r="A38" s="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_PalUtilTempWorksheet</vt:lpstr>
      <vt:lpstr>_STDS_DG1BB9C965</vt:lpstr>
      <vt:lpstr>ST_10verticeRuntimes</vt:lpstr>
      <vt:lpstr>ST_15verticeRuntimes</vt:lpstr>
      <vt:lpstr>ST_20verticeRuntimes</vt:lpstr>
      <vt:lpstr>ST_5verticeRuntimes</vt:lpstr>
      <vt:lpstr>ST_6verticeRuntimes</vt:lpstr>
      <vt:lpstr>ST_7verticeRuntimes</vt:lpstr>
      <vt:lpstr>ST_8verticeRuntimes</vt:lpstr>
      <vt:lpstr>ST_9verticeRuntimes</vt:lpstr>
      <vt:lpstr>ST_DataSet1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gulce</cp:lastModifiedBy>
  <dcterms:created xsi:type="dcterms:W3CDTF">2019-12-20T08:08:57Z</dcterms:created>
  <dcterms:modified xsi:type="dcterms:W3CDTF">2019-12-20T12:30:25Z</dcterms:modified>
</cp:coreProperties>
</file>